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ewaldjongkind\surfdrive - Ewald Jongkind@surfdrive.surf.nl\Shared\RytRedAm\01-Data\Data Management\"/>
    </mc:Choice>
  </mc:AlternateContent>
  <xr:revisionPtr revIDLastSave="0" documentId="8_{76ACEF2A-8C3F-4DC0-9ED6-24941825D568}" xr6:coauthVersionLast="47" xr6:coauthVersionMax="47" xr10:uidLastSave="{00000000-0000-0000-0000-000000000000}"/>
  <bookViews>
    <workbookView xWindow="0" yWindow="0" windowWidth="14400" windowHeight="15600" activeTab="10" xr2:uid="{00000000-000D-0000-FFFF-FFFF00000000}"/>
  </bookViews>
  <sheets>
    <sheet name="0025 NADH" sheetId="1" r:id="rId1"/>
    <sheet name="005 NADH" sheetId="6" r:id="rId2"/>
    <sheet name="0075 NADH" sheetId="11" r:id="rId3"/>
    <sheet name="01 NADH" sheetId="7" r:id="rId4"/>
    <sheet name="0125 NADH" sheetId="12" r:id="rId5"/>
    <sheet name="015 NADH" sheetId="13" r:id="rId6"/>
    <sheet name="02 NADH" sheetId="8" r:id="rId7"/>
    <sheet name="03 NADH" sheetId="14" r:id="rId8"/>
    <sheet name="04 NADH" sheetId="9" r:id="rId9"/>
    <sheet name="05 NADH" sheetId="10" r:id="rId10"/>
    <sheet name="summary" sheetId="5" r:id="rId11"/>
    <sheet name="Sheet5" sheetId="1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5" l="1"/>
  <c r="B37" i="5"/>
  <c r="B38" i="5"/>
  <c r="B39" i="5"/>
  <c r="B40" i="5"/>
  <c r="B41" i="5"/>
  <c r="B42" i="5"/>
  <c r="B43" i="5"/>
  <c r="B44" i="5"/>
  <c r="B45" i="5"/>
  <c r="B35" i="5"/>
  <c r="H32" i="14"/>
  <c r="H19" i="14"/>
  <c r="C21" i="14"/>
  <c r="H22" i="14"/>
  <c r="H23" i="14"/>
  <c r="H24" i="14" s="1"/>
  <c r="H4" i="14"/>
  <c r="H5" i="14" s="1"/>
  <c r="H6" i="14" s="1"/>
  <c r="C10" i="14"/>
  <c r="C14" i="14" s="1"/>
  <c r="C15" i="14" s="1"/>
  <c r="D21" i="5"/>
  <c r="E21" i="5" s="1"/>
  <c r="F21" i="5" s="1"/>
  <c r="D20" i="5"/>
  <c r="E20" i="5" s="1"/>
  <c r="F20" i="5" s="1"/>
  <c r="D19" i="5"/>
  <c r="E19" i="5" s="1"/>
  <c r="F19" i="5" s="1"/>
  <c r="H40" i="5" s="1"/>
  <c r="D18" i="5"/>
  <c r="E18" i="5" s="1"/>
  <c r="F18" i="5" s="1"/>
  <c r="D15" i="5"/>
  <c r="E15" i="5" s="1"/>
  <c r="F15" i="5" s="1"/>
  <c r="D14" i="5"/>
  <c r="G38" i="5" s="1"/>
  <c r="H32" i="13"/>
  <c r="H22" i="13"/>
  <c r="H23" i="13" s="1"/>
  <c r="H24" i="13" s="1"/>
  <c r="C21" i="13"/>
  <c r="C20" i="13"/>
  <c r="H19" i="13"/>
  <c r="C10" i="13"/>
  <c r="C14" i="13" s="1"/>
  <c r="C15" i="13" s="1"/>
  <c r="H5" i="13"/>
  <c r="H6" i="13" s="1"/>
  <c r="H4" i="13"/>
  <c r="H32" i="12"/>
  <c r="H22" i="12"/>
  <c r="H23" i="12" s="1"/>
  <c r="H24" i="12" s="1"/>
  <c r="H25" i="12" s="1"/>
  <c r="C21" i="12"/>
  <c r="C20" i="12"/>
  <c r="H19" i="12"/>
  <c r="C10" i="12"/>
  <c r="C14" i="12" s="1"/>
  <c r="C15" i="12" s="1"/>
  <c r="H4" i="12"/>
  <c r="H5" i="12" s="1"/>
  <c r="H6" i="12" s="1"/>
  <c r="H7" i="12" s="1"/>
  <c r="H32" i="11"/>
  <c r="H22" i="11"/>
  <c r="H23" i="11" s="1"/>
  <c r="H24" i="11" s="1"/>
  <c r="C21" i="11"/>
  <c r="C20" i="11"/>
  <c r="H19" i="11"/>
  <c r="C10" i="11"/>
  <c r="C14" i="11" s="1"/>
  <c r="C15" i="11" s="1"/>
  <c r="H4" i="11"/>
  <c r="H5" i="11" s="1"/>
  <c r="H6" i="11" s="1"/>
  <c r="H7" i="11" s="1"/>
  <c r="D10" i="5"/>
  <c r="D29" i="5"/>
  <c r="E29" i="5" s="1"/>
  <c r="F29" i="5" s="1"/>
  <c r="D28" i="5"/>
  <c r="G45" i="5" s="1"/>
  <c r="D27" i="5"/>
  <c r="E27" i="5" s="1"/>
  <c r="F27" i="5" s="1"/>
  <c r="D23" i="5"/>
  <c r="E23" i="5" s="1"/>
  <c r="F23" i="5" s="1"/>
  <c r="D22" i="5"/>
  <c r="G42" i="5" s="1"/>
  <c r="D11" i="5"/>
  <c r="C21" i="9"/>
  <c r="H32" i="10"/>
  <c r="H26" i="10"/>
  <c r="H22" i="10"/>
  <c r="H23" i="10" s="1"/>
  <c r="H24" i="10" s="1"/>
  <c r="H25" i="10" s="1"/>
  <c r="H19" i="10"/>
  <c r="H8" i="10"/>
  <c r="H4" i="10"/>
  <c r="H5" i="10" s="1"/>
  <c r="H6" i="10" s="1"/>
  <c r="H7" i="10" s="1"/>
  <c r="H32" i="9"/>
  <c r="H26" i="9"/>
  <c r="H22" i="9"/>
  <c r="H23" i="9" s="1"/>
  <c r="H24" i="9" s="1"/>
  <c r="H25" i="9" s="1"/>
  <c r="H19" i="9"/>
  <c r="H8" i="9"/>
  <c r="H4" i="9"/>
  <c r="H5" i="9" s="1"/>
  <c r="H6" i="9" s="1"/>
  <c r="H7" i="9" s="1"/>
  <c r="H32" i="8"/>
  <c r="H26" i="8"/>
  <c r="H22" i="8"/>
  <c r="H23" i="8" s="1"/>
  <c r="H24" i="8" s="1"/>
  <c r="H25" i="8" s="1"/>
  <c r="H19" i="8"/>
  <c r="H8" i="8"/>
  <c r="H4" i="8"/>
  <c r="H5" i="8" s="1"/>
  <c r="H6" i="8" s="1"/>
  <c r="H7" i="8" s="1"/>
  <c r="H32" i="7"/>
  <c r="H26" i="7"/>
  <c r="H22" i="7"/>
  <c r="H23" i="7" s="1"/>
  <c r="H24" i="7" s="1"/>
  <c r="H25" i="7" s="1"/>
  <c r="H19" i="7"/>
  <c r="H8" i="7"/>
  <c r="H4" i="7"/>
  <c r="H5" i="7" s="1"/>
  <c r="H6" i="7" s="1"/>
  <c r="H7" i="7" s="1"/>
  <c r="H32" i="6"/>
  <c r="H26" i="6"/>
  <c r="H22" i="6"/>
  <c r="H23" i="6" s="1"/>
  <c r="H24" i="6" s="1"/>
  <c r="H25" i="6" s="1"/>
  <c r="H19" i="6"/>
  <c r="H8" i="6"/>
  <c r="H4" i="6"/>
  <c r="H5" i="6" s="1"/>
  <c r="H6" i="6" s="1"/>
  <c r="H7" i="6" s="1"/>
  <c r="H32" i="1"/>
  <c r="H26" i="1"/>
  <c r="H22" i="1"/>
  <c r="H23" i="1" s="1"/>
  <c r="H24" i="1" s="1"/>
  <c r="H25" i="1" s="1"/>
  <c r="H19" i="1"/>
  <c r="H8" i="1"/>
  <c r="H4" i="1"/>
  <c r="H5" i="1" s="1"/>
  <c r="H6" i="1" s="1"/>
  <c r="H7" i="1" s="1"/>
  <c r="D42" i="5" l="1"/>
  <c r="D45" i="5"/>
  <c r="D41" i="5"/>
  <c r="E41" i="5" s="1"/>
  <c r="D40" i="5"/>
  <c r="E40" i="5" s="1"/>
  <c r="G40" i="5"/>
  <c r="F40" i="5"/>
  <c r="G41" i="5"/>
  <c r="H7" i="14"/>
  <c r="H16" i="14" s="1"/>
  <c r="H17" i="14" s="1"/>
  <c r="H25" i="14"/>
  <c r="F41" i="5"/>
  <c r="H41" i="5"/>
  <c r="E14" i="5"/>
  <c r="F14" i="5" s="1"/>
  <c r="D38" i="5"/>
  <c r="E38" i="5" s="1"/>
  <c r="H8" i="14"/>
  <c r="H9" i="14" s="1"/>
  <c r="H18" i="14" s="1"/>
  <c r="D24" i="5" s="1"/>
  <c r="H26" i="14"/>
  <c r="H29" i="14"/>
  <c r="H30" i="14" s="1"/>
  <c r="H27" i="14"/>
  <c r="H31" i="14" s="1"/>
  <c r="D25" i="5" s="1"/>
  <c r="E25" i="5" s="1"/>
  <c r="F25" i="5" s="1"/>
  <c r="H7" i="13"/>
  <c r="H16" i="13" s="1"/>
  <c r="H17" i="13" s="1"/>
  <c r="H25" i="13"/>
  <c r="H29" i="13" s="1"/>
  <c r="H30" i="13" s="1"/>
  <c r="H9" i="13"/>
  <c r="H18" i="13" s="1"/>
  <c r="H26" i="13"/>
  <c r="H8" i="13"/>
  <c r="H29" i="12"/>
  <c r="H30" i="12" s="1"/>
  <c r="H16" i="12"/>
  <c r="H17" i="12" s="1"/>
  <c r="H8" i="12"/>
  <c r="H9" i="12" s="1"/>
  <c r="H18" i="12" s="1"/>
  <c r="H26" i="12"/>
  <c r="H27" i="12" s="1"/>
  <c r="H31" i="12" s="1"/>
  <c r="H25" i="11"/>
  <c r="H27" i="11" s="1"/>
  <c r="H31" i="11" s="1"/>
  <c r="H29" i="11"/>
  <c r="H30" i="11" s="1"/>
  <c r="H16" i="11"/>
  <c r="H17" i="11" s="1"/>
  <c r="H8" i="11"/>
  <c r="H9" i="11" s="1"/>
  <c r="H18" i="11" s="1"/>
  <c r="H26" i="11"/>
  <c r="G36" i="5"/>
  <c r="E11" i="5"/>
  <c r="F11" i="5" s="1"/>
  <c r="E42" i="5"/>
  <c r="E10" i="5"/>
  <c r="F10" i="5" s="1"/>
  <c r="D36" i="5"/>
  <c r="E36" i="5" s="1"/>
  <c r="E22" i="5"/>
  <c r="F22" i="5" s="1"/>
  <c r="E28" i="5"/>
  <c r="F28" i="5" s="1"/>
  <c r="H29" i="10"/>
  <c r="H30" i="10" s="1"/>
  <c r="H27" i="10"/>
  <c r="H31" i="10" s="1"/>
  <c r="H16" i="10"/>
  <c r="H17" i="10" s="1"/>
  <c r="H9" i="10"/>
  <c r="H18" i="10" s="1"/>
  <c r="H16" i="9"/>
  <c r="H17" i="9" s="1"/>
  <c r="H9" i="9"/>
  <c r="H18" i="9" s="1"/>
  <c r="D26" i="5" s="1"/>
  <c r="H29" i="9"/>
  <c r="H30" i="9" s="1"/>
  <c r="H27" i="9"/>
  <c r="H31" i="9" s="1"/>
  <c r="H16" i="8"/>
  <c r="H17" i="8" s="1"/>
  <c r="H9" i="8"/>
  <c r="H18" i="8" s="1"/>
  <c r="H29" i="8"/>
  <c r="H30" i="8" s="1"/>
  <c r="H27" i="8"/>
  <c r="H31" i="8" s="1"/>
  <c r="H16" i="7"/>
  <c r="H17" i="7" s="1"/>
  <c r="H9" i="7"/>
  <c r="H18" i="7" s="1"/>
  <c r="D16" i="5" s="1"/>
  <c r="H29" i="7"/>
  <c r="H30" i="7" s="1"/>
  <c r="H27" i="7"/>
  <c r="H31" i="7" s="1"/>
  <c r="D17" i="5" s="1"/>
  <c r="E17" i="5" s="1"/>
  <c r="F17" i="5" s="1"/>
  <c r="H9" i="6"/>
  <c r="H18" i="6" s="1"/>
  <c r="D12" i="5" s="1"/>
  <c r="G37" i="5" s="1"/>
  <c r="H16" i="6"/>
  <c r="H17" i="6" s="1"/>
  <c r="H29" i="6"/>
  <c r="H30" i="6" s="1"/>
  <c r="H27" i="6"/>
  <c r="H31" i="6" s="1"/>
  <c r="D13" i="5" s="1"/>
  <c r="E13" i="5" s="1"/>
  <c r="F13" i="5" s="1"/>
  <c r="H9" i="1"/>
  <c r="H18" i="1" s="1"/>
  <c r="H16" i="1"/>
  <c r="H17" i="1" s="1"/>
  <c r="H29" i="1"/>
  <c r="H30" i="1" s="1"/>
  <c r="H27" i="1"/>
  <c r="H31" i="1" s="1"/>
  <c r="G39" i="5" l="1"/>
  <c r="D39" i="5"/>
  <c r="E39" i="5" s="1"/>
  <c r="F45" i="5"/>
  <c r="H45" i="5"/>
  <c r="G44" i="5"/>
  <c r="D44" i="5"/>
  <c r="E44" i="5" s="1"/>
  <c r="E16" i="5"/>
  <c r="F16" i="5" s="1"/>
  <c r="D37" i="5"/>
  <c r="E37" i="5" s="1"/>
  <c r="E12" i="5"/>
  <c r="F12" i="5" s="1"/>
  <c r="F37" i="5" s="1"/>
  <c r="E24" i="5"/>
  <c r="F24" i="5" s="1"/>
  <c r="G43" i="5"/>
  <c r="D43" i="5"/>
  <c r="E43" i="5" s="1"/>
  <c r="E45" i="5"/>
  <c r="F39" i="5"/>
  <c r="H39" i="5"/>
  <c r="H38" i="5"/>
  <c r="F38" i="5"/>
  <c r="H42" i="5"/>
  <c r="F42" i="5"/>
  <c r="E26" i="5"/>
  <c r="F26" i="5" s="1"/>
  <c r="H27" i="13"/>
  <c r="H31" i="13" s="1"/>
  <c r="H36" i="5"/>
  <c r="F36" i="5"/>
  <c r="C21" i="10"/>
  <c r="C20" i="10"/>
  <c r="C10" i="10"/>
  <c r="C14" i="10" s="1"/>
  <c r="C15" i="10" s="1"/>
  <c r="C16" i="10" s="1"/>
  <c r="E16" i="10" s="1"/>
  <c r="C10" i="9"/>
  <c r="C14" i="9" s="1"/>
  <c r="C15" i="9" s="1"/>
  <c r="C21" i="8"/>
  <c r="C20" i="8"/>
  <c r="C10" i="8"/>
  <c r="C14" i="8" s="1"/>
  <c r="C15" i="8" s="1"/>
  <c r="C21" i="7"/>
  <c r="C20" i="7"/>
  <c r="C10" i="7"/>
  <c r="C14" i="7" s="1"/>
  <c r="C15" i="7" s="1"/>
  <c r="C21" i="6"/>
  <c r="C20" i="6"/>
  <c r="C10" i="6"/>
  <c r="C14" i="6" s="1"/>
  <c r="C15" i="6" s="1"/>
  <c r="C21" i="1"/>
  <c r="C20" i="1"/>
  <c r="C10" i="1"/>
  <c r="C14" i="1" s="1"/>
  <c r="C15" i="1" s="1"/>
  <c r="H44" i="5" l="1"/>
  <c r="F44" i="5"/>
  <c r="H37" i="5"/>
  <c r="H43" i="5"/>
  <c r="F43" i="5"/>
</calcChain>
</file>

<file path=xl/sharedStrings.xml><?xml version="1.0" encoding="utf-8"?>
<sst xmlns="http://schemas.openxmlformats.org/spreadsheetml/2006/main" count="699" uniqueCount="51">
  <si>
    <t>Cuvet mix</t>
  </si>
  <si>
    <t>Buffer</t>
  </si>
  <si>
    <t>Gox</t>
  </si>
  <si>
    <t>Substrate</t>
  </si>
  <si>
    <t>NADH</t>
  </si>
  <si>
    <t>NADPH</t>
  </si>
  <si>
    <t>enzyme</t>
  </si>
  <si>
    <t>Total</t>
  </si>
  <si>
    <t>#1</t>
  </si>
  <si>
    <t>#2</t>
  </si>
  <si>
    <t>Data (abs/min)</t>
  </si>
  <si>
    <t>extinction coeff.</t>
  </si>
  <si>
    <t>slope</t>
  </si>
  <si>
    <t>concentration/min</t>
  </si>
  <si>
    <t>U</t>
  </si>
  <si>
    <t>enzyme amount</t>
  </si>
  <si>
    <t>Specific activity</t>
  </si>
  <si>
    <t>Average</t>
  </si>
  <si>
    <t>Stdev</t>
  </si>
  <si>
    <t>in mg</t>
  </si>
  <si>
    <t>dil factor</t>
  </si>
  <si>
    <t>M-1cm-1</t>
  </si>
  <si>
    <t>A/min</t>
  </si>
  <si>
    <t>M/min</t>
  </si>
  <si>
    <t>umol/L/min</t>
  </si>
  <si>
    <t>umol/min</t>
  </si>
  <si>
    <t>mg</t>
  </si>
  <si>
    <t>U/mg</t>
  </si>
  <si>
    <t>Enzyme name</t>
  </si>
  <si>
    <t>Substrate name</t>
  </si>
  <si>
    <t>concentration (mM)</t>
  </si>
  <si>
    <t>U/mL</t>
  </si>
  <si>
    <t>Enzyme (mg/ml)</t>
  </si>
  <si>
    <t>stock dilution</t>
  </si>
  <si>
    <t>Amine</t>
  </si>
  <si>
    <t>RythRedAm</t>
  </si>
  <si>
    <t>hexanal, allylamine</t>
  </si>
  <si>
    <t>10, 100</t>
  </si>
  <si>
    <t>is</t>
  </si>
  <si>
    <t>kcat</t>
  </si>
  <si>
    <t>mol</t>
  </si>
  <si>
    <t>mol/L</t>
  </si>
  <si>
    <t>[NADPH]</t>
  </si>
  <si>
    <t>Spec. Act (U/mg)</t>
  </si>
  <si>
    <t>stdev act</t>
  </si>
  <si>
    <t>stdevkcat</t>
  </si>
  <si>
    <t>km</t>
  </si>
  <si>
    <t>error</t>
  </si>
  <si>
    <t>adjusted</t>
  </si>
  <si>
    <t>cof factor</t>
  </si>
  <si>
    <t>old conc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</si>
</sst>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"/>
    <numFmt numFmtId="165" formatCode="0.0000"/>
    <numFmt numFmtId="166" formatCode="0.000"/>
    <numFmt numFmtId="167" formatCode="_ * #,##0.000_ ;_ * \-#,##0.000_ ;_ * &quot;-&quot;??_ ;_ @_ "/>
    <numFmt numFmtId="168" formatCode="_ * #,##0.0000000_ ;_ * \-#,##0.00000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  <xf numFmtId="0" fontId="4" fillId="4" borderId="1" applyNumberFormat="0" applyAlignment="0" applyProtection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2" fillId="3" borderId="1" xfId="2"/>
    <xf numFmtId="0" fontId="4" fillId="4" borderId="1" xfId="4"/>
    <xf numFmtId="0" fontId="1" fillId="2" borderId="0" xfId="1"/>
    <xf numFmtId="2" fontId="1" fillId="2" borderId="0" xfId="1" applyNumberFormat="1"/>
    <xf numFmtId="0" fontId="1" fillId="2" borderId="0" xfId="1" applyBorder="1"/>
    <xf numFmtId="165" fontId="4" fillId="4" borderId="1" xfId="4" applyNumberFormat="1"/>
    <xf numFmtId="166" fontId="4" fillId="4" borderId="1" xfId="4" applyNumberFormat="1"/>
    <xf numFmtId="2" fontId="4" fillId="4" borderId="1" xfId="4" applyNumberFormat="1"/>
    <xf numFmtId="167" fontId="4" fillId="4" borderId="1" xfId="5" applyNumberFormat="1" applyFont="1" applyFill="1" applyBorder="1"/>
    <xf numFmtId="165" fontId="2" fillId="3" borderId="1" xfId="2" applyNumberFormat="1"/>
    <xf numFmtId="166" fontId="1" fillId="2" borderId="0" xfId="1" applyNumberFormat="1"/>
    <xf numFmtId="1" fontId="2" fillId="3" borderId="1" xfId="2" applyNumberFormat="1"/>
    <xf numFmtId="165" fontId="3" fillId="4" borderId="2" xfId="3" applyNumberFormat="1"/>
    <xf numFmtId="164" fontId="0" fillId="0" borderId="0" xfId="0" applyNumberFormat="1"/>
    <xf numFmtId="167" fontId="3" fillId="4" borderId="2" xfId="3" applyNumberFormat="1"/>
    <xf numFmtId="2" fontId="0" fillId="0" borderId="0" xfId="0" applyNumberFormat="1"/>
    <xf numFmtId="11" fontId="0" fillId="0" borderId="0" xfId="0" applyNumberFormat="1"/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2" fontId="7" fillId="0" borderId="0" xfId="0" applyNumberFormat="1" applyFont="1"/>
    <xf numFmtId="165" fontId="7" fillId="0" borderId="0" xfId="0" applyNumberFormat="1" applyFont="1"/>
    <xf numFmtId="0" fontId="8" fillId="0" borderId="3" xfId="0" applyFont="1" applyBorder="1"/>
    <xf numFmtId="164" fontId="8" fillId="0" borderId="3" xfId="0" applyNumberFormat="1" applyFont="1" applyBorder="1"/>
    <xf numFmtId="0" fontId="8" fillId="0" borderId="0" xfId="0" applyFont="1"/>
    <xf numFmtId="166" fontId="0" fillId="0" borderId="0" xfId="0" applyNumberFormat="1"/>
    <xf numFmtId="168" fontId="4" fillId="4" borderId="1" xfId="5" applyNumberFormat="1" applyFont="1" applyFill="1" applyBorder="1"/>
  </cellXfs>
  <cellStyles count="6">
    <cellStyle name="Calculation" xfId="4" builtinId="22"/>
    <cellStyle name="Comma" xfId="5" builtinId="3"/>
    <cellStyle name="Good" xfId="1" builtinId="26"/>
    <cellStyle name="Input" xfId="2" builtinId="20"/>
    <cellStyle name="Normal" xfId="0" builtinId="0"/>
    <cellStyle name="Output" xfId="3" builtinId="21"/>
  </cellStyles>
  <dxfs count="11">
    <dxf>
      <numFmt numFmtId="166" formatCode="0.0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.0000"/>
      <fill>
        <patternFill patternType="none">
          <fgColor indexed="64"/>
          <bgColor indexed="65"/>
        </patternFill>
      </fill>
    </dxf>
    <dxf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.00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summary!$G$35:$G$45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5.0878313157564782E-2</c:v>
                  </c:pt>
                  <c:pt idx="2">
                    <c:v>8.7011037259536461E-2</c:v>
                  </c:pt>
                  <c:pt idx="3">
                    <c:v>7.2190061756829849E-2</c:v>
                  </c:pt>
                  <c:pt idx="4">
                    <c:v>0.12966468903691192</c:v>
                  </c:pt>
                  <c:pt idx="5">
                    <c:v>0.14208083687666803</c:v>
                  </c:pt>
                  <c:pt idx="6">
                    <c:v>9.091605522006807E-2</c:v>
                  </c:pt>
                  <c:pt idx="7">
                    <c:v>0.62429024584446069</c:v>
                  </c:pt>
                  <c:pt idx="8">
                    <c:v>0.54480277600694926</c:v>
                  </c:pt>
                  <c:pt idx="9">
                    <c:v>8.6543641287426143E-2</c:v>
                  </c:pt>
                  <c:pt idx="10">
                    <c:v>4.9935982568635226E-2</c:v>
                  </c:pt>
                </c:numCache>
              </c:numRef>
            </c:plus>
            <c:minus>
              <c:numRef>
                <c:f>summary!$G$35:$G$45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5.0878313157564782E-2</c:v>
                  </c:pt>
                  <c:pt idx="2">
                    <c:v>8.7011037259536461E-2</c:v>
                  </c:pt>
                  <c:pt idx="3">
                    <c:v>7.2190061756829849E-2</c:v>
                  </c:pt>
                  <c:pt idx="4">
                    <c:v>0.12966468903691192</c:v>
                  </c:pt>
                  <c:pt idx="5">
                    <c:v>0.14208083687666803</c:v>
                  </c:pt>
                  <c:pt idx="6">
                    <c:v>9.091605522006807E-2</c:v>
                  </c:pt>
                  <c:pt idx="7">
                    <c:v>0.62429024584446069</c:v>
                  </c:pt>
                  <c:pt idx="8">
                    <c:v>0.54480277600694926</c:v>
                  </c:pt>
                  <c:pt idx="9">
                    <c:v>8.6543641287426143E-2</c:v>
                  </c:pt>
                  <c:pt idx="10">
                    <c:v>4.9935982568635226E-2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summary!$C$35:$C$45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  <c:pt idx="5">
                  <c:v>0.125</c:v>
                </c:pt>
                <c:pt idx="6">
                  <c:v>0.15</c:v>
                </c:pt>
                <c:pt idx="7">
                  <c:v>0.2</c:v>
                </c:pt>
                <c:pt idx="8">
                  <c:v>0.3</c:v>
                </c:pt>
                <c:pt idx="9">
                  <c:v>0.4</c:v>
                </c:pt>
                <c:pt idx="10">
                  <c:v>0.5</c:v>
                </c:pt>
              </c:numCache>
            </c:numRef>
          </c:xVal>
          <c:yVal>
            <c:numRef>
              <c:f>summary!$D$35:$D$45</c:f>
              <c:numCache>
                <c:formatCode>0.00</c:formatCode>
                <c:ptCount val="11"/>
                <c:pt idx="0">
                  <c:v>0</c:v>
                </c:pt>
                <c:pt idx="1">
                  <c:v>0.84438727643351219</c:v>
                </c:pt>
                <c:pt idx="2">
                  <c:v>1.8648771397135961</c:v>
                </c:pt>
                <c:pt idx="3">
                  <c:v>2.9861958088479876</c:v>
                </c:pt>
                <c:pt idx="4">
                  <c:v>3.4525723472668814</c:v>
                </c:pt>
                <c:pt idx="5">
                  <c:v>4.6577897515501459</c:v>
                </c:pt>
                <c:pt idx="6">
                  <c:v>5.5672853036751455</c:v>
                </c:pt>
                <c:pt idx="7">
                  <c:v>7.1616118109631799</c:v>
                </c:pt>
                <c:pt idx="8">
                  <c:v>9.154711847637893</c:v>
                </c:pt>
                <c:pt idx="9">
                  <c:v>10.053562138050438</c:v>
                </c:pt>
                <c:pt idx="10">
                  <c:v>10.610676605798014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2D-42F0-BE04-BE7E77E25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587552"/>
        <c:axId val="602592832"/>
      </c:scatterChart>
      <c:valAx>
        <c:axId val="6025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2592832"/>
        <c:crosses val="autoZero"/>
        <c:crossBetween val="midCat"/>
      </c:valAx>
      <c:valAx>
        <c:axId val="60259283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258755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27</xdr:row>
      <xdr:rowOff>33337</xdr:rowOff>
    </xdr:from>
    <xdr:to>
      <xdr:col>18</xdr:col>
      <xdr:colOff>266700</xdr:colOff>
      <xdr:row>41</xdr:row>
      <xdr:rowOff>109537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40525349-2A6C-8B45-F1DB-075F3C341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31</xdr:col>
      <xdr:colOff>0</xdr:colOff>
      <xdr:row>30</xdr:row>
      <xdr:rowOff>0</xdr:rowOff>
    </xdr:from>
    <xdr:to>
      <xdr:col>42</xdr:col>
      <xdr:colOff>114300</xdr:colOff>
      <xdr:row>44</xdr:row>
      <xdr:rowOff>66675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2B802E09-DDAA-81EB-1D13-5B4260030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25" y="5715000"/>
          <a:ext cx="6819900" cy="2733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600206</xdr:colOff>
      <xdr:row>39</xdr:row>
      <xdr:rowOff>78287</xdr:rowOff>
    </xdr:from>
    <xdr:to>
      <xdr:col>31</xdr:col>
      <xdr:colOff>301277</xdr:colOff>
      <xdr:row>56</xdr:row>
      <xdr:rowOff>183062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DBC4F2BE-14ED-701F-016F-9D9188BF4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6713" y="7711335"/>
          <a:ext cx="6446859" cy="3432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8DCF94-7E35-480A-A7DE-3FCD5D05D7F0}" name="Table1" displayName="Table1" ref="C8:F29" totalsRowShown="0" headerRowDxfId="10" dataDxfId="9">
  <autoFilter ref="C8:F29" xr:uid="{F98DCF94-7E35-480A-A7DE-3FCD5D05D7F0}"/>
  <sortState xmlns:xlrd2="http://schemas.microsoft.com/office/spreadsheetml/2017/richdata2" ref="C9:F28">
    <sortCondition ref="C8:C28"/>
  </sortState>
  <tableColumns count="4">
    <tableColumn id="1" xr3:uid="{B4CF3E6C-411E-4872-80F6-207250F8BC7D}" name="[NADPH]" dataDxfId="8"/>
    <tableColumn id="2" xr3:uid="{407AD4BF-0D54-4075-BF7C-154BCB80D140}" name="Spec. Act (U/mg)" dataDxfId="7"/>
    <tableColumn id="3" xr3:uid="{09E7F30E-E465-47FD-A539-1E72E227F6AF}" name="umol/min" dataDxfId="6"/>
    <tableColumn id="4" xr3:uid="{60731B9F-029D-43DB-8545-1D31FBDCE9EF}" name="kcat" dataDxfId="5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1648F3-8D0B-4E6F-94AB-0FC65D97106A}" name="Table3" displayName="Table3" ref="C34:H45" totalsRowShown="0">
  <autoFilter ref="C34:H45" xr:uid="{2D1648F3-8D0B-4E6F-94AB-0FC65D97106A}"/>
  <sortState xmlns:xlrd2="http://schemas.microsoft.com/office/spreadsheetml/2017/richdata2" ref="C35:H45">
    <sortCondition ref="C34:C45"/>
  </sortState>
  <tableColumns count="6">
    <tableColumn id="1" xr3:uid="{CA710309-E711-4983-9466-9E45B9B75236}" name="old conc"/>
    <tableColumn id="2" xr3:uid="{5772BEB4-7D58-4BDB-92FA-2FB47D06D874}" name="Spec. Act (U/mg)" dataDxfId="4"/>
    <tableColumn id="3" xr3:uid="{7F6BC9E7-BF36-4755-96C8-9000A6AB56E9}" name="umol/min" dataDxfId="3"/>
    <tableColumn id="4" xr3:uid="{0503EC1E-8BF1-4495-9851-0A5C93FBFA0B}" name="kcat" dataDxfId="2"/>
    <tableColumn id="5" xr3:uid="{3E6AE575-BDC3-49CE-B4C3-7271EA86EF78}" name="stdev act" dataDxfId="1"/>
    <tableColumn id="6" xr3:uid="{784B67E4-BAC1-4877-B223-75CCE3EF4A0B}" name="stdevkca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1.9099999999999999E-2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3.0707395498392283E-6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3.0707395498392285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6.0954180064308689E-3</v>
      </c>
      <c r="I7" t="s">
        <v>25</v>
      </c>
    </row>
    <row r="8" spans="2:9" x14ac:dyDescent="0.25">
      <c r="B8" t="s">
        <v>5</v>
      </c>
      <c r="C8" s="1">
        <v>5.0000000000000001E-3</v>
      </c>
      <c r="G8" t="s">
        <v>15</v>
      </c>
      <c r="H8" s="15">
        <f>C15</f>
        <v>7.5399999999999998E-3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0.80841087618446539</v>
      </c>
      <c r="I9" t="s">
        <v>27</v>
      </c>
    </row>
    <row r="10" spans="2:9" x14ac:dyDescent="0.25">
      <c r="B10" t="s">
        <v>7</v>
      </c>
      <c r="C10" s="8">
        <f>SUM(C3:C9)</f>
        <v>1.9849999999999999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992.49999999999989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7.5399999999999998E-3</v>
      </c>
    </row>
    <row r="16" spans="2:9" x14ac:dyDescent="0.25">
      <c r="G16" s="3" t="s">
        <v>14</v>
      </c>
      <c r="H16" s="11">
        <f>H7</f>
        <v>6.0954180064308689E-3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3.0477090032154344</v>
      </c>
      <c r="I17" s="5" t="s">
        <v>31</v>
      </c>
    </row>
    <row r="18" spans="2:9" x14ac:dyDescent="0.25">
      <c r="B18" t="s">
        <v>8</v>
      </c>
      <c r="C18" s="10">
        <v>1.9099999999999999E-2</v>
      </c>
      <c r="G18" s="3" t="s">
        <v>16</v>
      </c>
      <c r="H18" s="4">
        <f>H9</f>
        <v>0.80841087618446539</v>
      </c>
      <c r="I18" s="3" t="s">
        <v>27</v>
      </c>
    </row>
    <row r="19" spans="2:9" x14ac:dyDescent="0.25">
      <c r="B19" t="s">
        <v>9</v>
      </c>
      <c r="C19" s="10">
        <v>2.0799999999999999E-2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1.9949999999999999E-2</v>
      </c>
    </row>
    <row r="21" spans="2:9" x14ac:dyDescent="0.25">
      <c r="B21" t="s">
        <v>18</v>
      </c>
      <c r="C21" s="6">
        <f>STDEV(C18:C19)</f>
        <v>1.2020815280171309E-3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2.0799999999999999E-2</v>
      </c>
      <c r="I22" t="s">
        <v>22</v>
      </c>
    </row>
    <row r="23" spans="2:9" x14ac:dyDescent="0.25">
      <c r="G23" t="s">
        <v>13</v>
      </c>
      <c r="H23" s="2">
        <f>H22/H21</f>
        <v>3.3440514469453376E-6</v>
      </c>
      <c r="I23" t="s">
        <v>23</v>
      </c>
    </row>
    <row r="24" spans="2:9" x14ac:dyDescent="0.25">
      <c r="G24" t="s">
        <v>13</v>
      </c>
      <c r="H24" s="2">
        <f>H23*1000000</f>
        <v>3.3440514469453375</v>
      </c>
      <c r="I24" t="s">
        <v>24</v>
      </c>
    </row>
    <row r="25" spans="2:9" x14ac:dyDescent="0.25">
      <c r="G25" t="s">
        <v>14</v>
      </c>
      <c r="H25" s="7">
        <f>H24/1000*C10</f>
        <v>6.6379421221864944E-3</v>
      </c>
      <c r="I25" t="s">
        <v>25</v>
      </c>
    </row>
    <row r="26" spans="2:9" x14ac:dyDescent="0.25">
      <c r="G26" t="s">
        <v>15</v>
      </c>
      <c r="H26" s="15">
        <f>C15</f>
        <v>7.5399999999999998E-3</v>
      </c>
      <c r="I26" t="s">
        <v>26</v>
      </c>
    </row>
    <row r="27" spans="2:9" x14ac:dyDescent="0.25">
      <c r="G27" t="s">
        <v>16</v>
      </c>
      <c r="H27" s="2">
        <f>H25/H26</f>
        <v>0.88036367668255899</v>
      </c>
      <c r="I27" t="s">
        <v>27</v>
      </c>
    </row>
    <row r="29" spans="2:9" x14ac:dyDescent="0.25">
      <c r="G29" s="3" t="s">
        <v>14</v>
      </c>
      <c r="H29" s="11">
        <f>H25</f>
        <v>6.6379421221864944E-3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0.88036367668255899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0.1206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1.9389067524115755E-5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19.389067524115756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4.0135369774919612E-2</v>
      </c>
      <c r="I7" t="s">
        <v>25</v>
      </c>
    </row>
    <row r="8" spans="2:9" x14ac:dyDescent="0.25">
      <c r="B8" t="s">
        <v>5</v>
      </c>
      <c r="C8" s="1">
        <v>0.1</v>
      </c>
      <c r="G8" t="s">
        <v>15</v>
      </c>
      <c r="H8" s="15">
        <f>C15</f>
        <v>3.7700000000000003E-3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10.645986677697509</v>
      </c>
      <c r="I9" t="s">
        <v>27</v>
      </c>
    </row>
    <row r="10" spans="2:9" x14ac:dyDescent="0.25">
      <c r="B10" t="s">
        <v>7</v>
      </c>
      <c r="C10" s="8">
        <f>SUM(C3:C9)</f>
        <v>2.0699999999999998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2069.9999999999995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3.7700000000000003E-3</v>
      </c>
    </row>
    <row r="16" spans="2:9" x14ac:dyDescent="0.25">
      <c r="B16" t="s">
        <v>40</v>
      </c>
      <c r="C16" s="17">
        <f>C15/31443/1000</f>
        <v>1.19899500683777E-10</v>
      </c>
      <c r="D16" t="s">
        <v>38</v>
      </c>
      <c r="E16" s="17">
        <f>C16/C10*1000</f>
        <v>5.7922464098443006E-8</v>
      </c>
      <c r="F16" t="s">
        <v>41</v>
      </c>
      <c r="G16" s="3" t="s">
        <v>14</v>
      </c>
      <c r="H16" s="11">
        <f>H7</f>
        <v>4.0135369774919612E-2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40.13536977491961</v>
      </c>
      <c r="I17" s="5" t="s">
        <v>31</v>
      </c>
    </row>
    <row r="18" spans="2:9" x14ac:dyDescent="0.25">
      <c r="B18" t="s">
        <v>8</v>
      </c>
      <c r="C18" s="10">
        <v>0.1206</v>
      </c>
      <c r="G18" s="3" t="s">
        <v>16</v>
      </c>
      <c r="H18" s="4">
        <f>H9</f>
        <v>10.645986677697509</v>
      </c>
      <c r="I18" s="3" t="s">
        <v>27</v>
      </c>
    </row>
    <row r="19" spans="2:9" x14ac:dyDescent="0.25">
      <c r="B19" t="s">
        <v>9</v>
      </c>
      <c r="C19" s="10">
        <v>0.1198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0.1202</v>
      </c>
    </row>
    <row r="21" spans="2:9" x14ac:dyDescent="0.25">
      <c r="B21" t="s">
        <v>18</v>
      </c>
      <c r="C21" s="6">
        <f>STDEV(C18:C19)</f>
        <v>5.6568542494923456E-4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0.1198</v>
      </c>
      <c r="I22" t="s">
        <v>22</v>
      </c>
    </row>
    <row r="23" spans="2:9" x14ac:dyDescent="0.25">
      <c r="G23" t="s">
        <v>13</v>
      </c>
      <c r="H23" s="2">
        <f>H22/H21</f>
        <v>1.9260450160771705E-5</v>
      </c>
      <c r="I23" t="s">
        <v>23</v>
      </c>
    </row>
    <row r="24" spans="2:9" x14ac:dyDescent="0.25">
      <c r="G24" t="s">
        <v>13</v>
      </c>
      <c r="H24" s="2">
        <f>H23*1000000</f>
        <v>19.260450160771704</v>
      </c>
      <c r="I24" t="s">
        <v>24</v>
      </c>
    </row>
    <row r="25" spans="2:9" x14ac:dyDescent="0.25">
      <c r="G25" t="s">
        <v>14</v>
      </c>
      <c r="H25" s="7">
        <f>H24/1000*C10</f>
        <v>3.9869131832797423E-2</v>
      </c>
      <c r="I25" t="s">
        <v>25</v>
      </c>
    </row>
    <row r="26" spans="2:9" x14ac:dyDescent="0.25">
      <c r="G26" t="s">
        <v>15</v>
      </c>
      <c r="H26" s="15">
        <f>C15</f>
        <v>3.7700000000000003E-3</v>
      </c>
      <c r="I26" t="s">
        <v>26</v>
      </c>
    </row>
    <row r="27" spans="2:9" x14ac:dyDescent="0.25">
      <c r="G27" t="s">
        <v>16</v>
      </c>
      <c r="H27" s="2">
        <f>H25/H26</f>
        <v>10.575366533898519</v>
      </c>
      <c r="I27" t="s">
        <v>27</v>
      </c>
    </row>
    <row r="29" spans="2:9" x14ac:dyDescent="0.25">
      <c r="G29" s="3" t="s">
        <v>14</v>
      </c>
      <c r="H29" s="11">
        <f>H25</f>
        <v>3.9869131832797423E-2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10.575366533898519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7:W45"/>
  <sheetViews>
    <sheetView tabSelected="1" topLeftCell="A13" zoomScale="73" zoomScaleNormal="100" workbookViewId="0">
      <selection activeCell="U18" sqref="U18"/>
    </sheetView>
  </sheetViews>
  <sheetFormatPr defaultRowHeight="15" x14ac:dyDescent="0.25"/>
  <cols>
    <col min="4" max="4" width="15" bestFit="1" customWidth="1"/>
  </cols>
  <sheetData>
    <row r="7" spans="3:10" x14ac:dyDescent="0.25">
      <c r="E7" s="18"/>
      <c r="F7" s="14"/>
      <c r="G7" s="14"/>
      <c r="H7" s="14"/>
      <c r="I7" s="16"/>
      <c r="J7" s="16"/>
    </row>
    <row r="8" spans="3:10" x14ac:dyDescent="0.25">
      <c r="C8" s="19" t="s">
        <v>42</v>
      </c>
      <c r="D8" s="19" t="s">
        <v>43</v>
      </c>
      <c r="E8" s="19" t="s">
        <v>25</v>
      </c>
      <c r="F8" s="20" t="s">
        <v>39</v>
      </c>
      <c r="G8" s="14"/>
      <c r="H8" s="14"/>
      <c r="I8" s="16"/>
      <c r="J8" s="16"/>
    </row>
    <row r="9" spans="3:10" x14ac:dyDescent="0.25">
      <c r="C9" s="19">
        <v>0</v>
      </c>
      <c r="D9" s="21">
        <v>0</v>
      </c>
      <c r="E9" s="22">
        <v>0</v>
      </c>
      <c r="F9" s="21">
        <v>0</v>
      </c>
    </row>
    <row r="10" spans="3:10" x14ac:dyDescent="0.25">
      <c r="C10" s="19">
        <v>2.5000000000000001E-2</v>
      </c>
      <c r="D10" s="21">
        <f>'0025 NADH'!H18</f>
        <v>0.80841087618446539</v>
      </c>
      <c r="E10" s="22">
        <f t="shared" ref="E10:E29" si="0">D10*0.00377</f>
        <v>3.0477090032154344E-3</v>
      </c>
      <c r="F10" s="21">
        <f t="shared" ref="F10:F29" si="1">E10/60/(0.0000000579*1000000)/0.002</f>
        <v>0.43864550996192209</v>
      </c>
    </row>
    <row r="11" spans="3:10" x14ac:dyDescent="0.25">
      <c r="C11" s="19">
        <v>2.5000000000000001E-2</v>
      </c>
      <c r="D11" s="21">
        <f>'0025 NADH'!H31</f>
        <v>0.88036367668255899</v>
      </c>
      <c r="E11" s="22">
        <f t="shared" si="0"/>
        <v>3.3189710610932472E-3</v>
      </c>
      <c r="F11" s="21">
        <f t="shared" si="1"/>
        <v>0.47768725692188357</v>
      </c>
    </row>
    <row r="12" spans="3:10" x14ac:dyDescent="0.25">
      <c r="C12" s="19">
        <v>0.05</v>
      </c>
      <c r="D12" s="21">
        <f>'005 NADH'!H18</f>
        <v>1.9264032341978896</v>
      </c>
      <c r="E12" s="22">
        <f t="shared" si="0"/>
        <v>7.2625401929260437E-3</v>
      </c>
      <c r="F12" s="21">
        <f t="shared" si="1"/>
        <v>1.0452706092294248</v>
      </c>
    </row>
    <row r="13" spans="3:10" x14ac:dyDescent="0.25">
      <c r="C13" s="19">
        <v>0.05</v>
      </c>
      <c r="D13" s="21">
        <f>'005 NADH'!H31</f>
        <v>1.8033510452293025</v>
      </c>
      <c r="E13" s="22">
        <f t="shared" si="0"/>
        <v>6.7986334405144705E-3</v>
      </c>
      <c r="F13" s="21">
        <f t="shared" si="1"/>
        <v>0.97850222229626793</v>
      </c>
    </row>
    <row r="14" spans="3:10" x14ac:dyDescent="0.25">
      <c r="C14" s="19">
        <v>7.4999999999999997E-2</v>
      </c>
      <c r="D14" s="21">
        <f>'0075 NADH'!H18</f>
        <v>2.9351497266454576</v>
      </c>
      <c r="E14" s="22">
        <f t="shared" si="0"/>
        <v>1.1065514469453374E-2</v>
      </c>
      <c r="F14" s="21">
        <f t="shared" si="1"/>
        <v>1.5926186628459089</v>
      </c>
    </row>
    <row r="15" spans="3:10" x14ac:dyDescent="0.25">
      <c r="C15" s="19">
        <v>7.4999999999999997E-2</v>
      </c>
      <c r="D15" s="21">
        <f>'0075 NADH'!H31</f>
        <v>3.0372418910505177</v>
      </c>
      <c r="E15" s="22">
        <f t="shared" si="0"/>
        <v>1.1450401929260451E-2</v>
      </c>
      <c r="F15" s="21">
        <f t="shared" si="1"/>
        <v>1.6480140945970709</v>
      </c>
    </row>
    <row r="16" spans="3:10" x14ac:dyDescent="0.25">
      <c r="C16" s="19">
        <v>0.1</v>
      </c>
      <c r="D16" s="21">
        <f>'01 NADH'!H18</f>
        <v>3.8679028034832452</v>
      </c>
      <c r="E16" s="22">
        <f t="shared" si="0"/>
        <v>1.4581993569131833E-2</v>
      </c>
      <c r="F16" s="21">
        <f t="shared" si="1"/>
        <v>2.0987325229032572</v>
      </c>
    </row>
    <row r="17" spans="2:23" x14ac:dyDescent="0.25">
      <c r="C17" s="19">
        <v>0.1</v>
      </c>
      <c r="D17" s="21">
        <f>'01 NADH'!H31</f>
        <v>3.6845292416863544</v>
      </c>
      <c r="E17" s="22">
        <f t="shared" si="0"/>
        <v>1.3890675241157556E-2</v>
      </c>
      <c r="F17" s="21">
        <f t="shared" si="1"/>
        <v>1.9992336271096081</v>
      </c>
    </row>
    <row r="18" spans="2:23" x14ac:dyDescent="0.25">
      <c r="C18" s="19">
        <v>0.125</v>
      </c>
      <c r="D18" s="21">
        <f>'0125 NADH'!H18</f>
        <v>4.758256074782298</v>
      </c>
      <c r="E18" s="22">
        <f t="shared" si="0"/>
        <v>1.7938625401929264E-2</v>
      </c>
      <c r="F18" s="21">
        <f t="shared" si="1"/>
        <v>2.5818401557180861</v>
      </c>
    </row>
    <row r="19" spans="2:23" x14ac:dyDescent="0.25">
      <c r="C19" s="19">
        <v>0.125</v>
      </c>
      <c r="D19" s="21">
        <f>'0125 NADH'!H31</f>
        <v>4.5573234283179946</v>
      </c>
      <c r="E19" s="22">
        <f t="shared" si="0"/>
        <v>1.7181109324758838E-2</v>
      </c>
      <c r="F19" s="21">
        <f t="shared" si="1"/>
        <v>2.4728136621702417</v>
      </c>
    </row>
    <row r="20" spans="2:23" x14ac:dyDescent="0.25">
      <c r="C20" s="19">
        <v>0.15</v>
      </c>
      <c r="D20" s="21">
        <f>'015 NADH'!H18</f>
        <v>5.6315726628399867</v>
      </c>
      <c r="E20" s="22">
        <f t="shared" si="0"/>
        <v>2.123102893890675E-2</v>
      </c>
      <c r="F20" s="21">
        <f t="shared" si="1"/>
        <v>3.0557036469353411</v>
      </c>
    </row>
    <row r="21" spans="2:23" x14ac:dyDescent="0.25">
      <c r="C21" s="19">
        <v>0.15</v>
      </c>
      <c r="D21" s="21">
        <f>'015 NADH'!H31</f>
        <v>5.5029979445103052</v>
      </c>
      <c r="E21" s="22">
        <f t="shared" si="0"/>
        <v>2.0746302250803851E-2</v>
      </c>
      <c r="F21" s="21">
        <f t="shared" si="1"/>
        <v>2.985938723489328</v>
      </c>
    </row>
    <row r="22" spans="2:23" x14ac:dyDescent="0.25">
      <c r="C22" s="19">
        <v>0.2</v>
      </c>
      <c r="D22" s="21">
        <f>'02 NADH'!H18</f>
        <v>7.6030516772284154</v>
      </c>
      <c r="E22" s="22">
        <f t="shared" si="0"/>
        <v>2.8663504823151126E-2</v>
      </c>
      <c r="F22" s="21">
        <f t="shared" si="1"/>
        <v>4.1254324731075318</v>
      </c>
    </row>
    <row r="23" spans="2:23" x14ac:dyDescent="0.25">
      <c r="C23" s="19">
        <v>0.2</v>
      </c>
      <c r="D23" s="21">
        <f>'02 NADH'!H31</f>
        <v>6.7201719446979453</v>
      </c>
      <c r="E23" s="22">
        <f t="shared" si="0"/>
        <v>2.5335048231511254E-2</v>
      </c>
      <c r="F23" s="21">
        <f t="shared" si="1"/>
        <v>3.6463799987782464</v>
      </c>
    </row>
    <row r="24" spans="2:23" x14ac:dyDescent="0.25">
      <c r="C24" s="19">
        <v>0.3</v>
      </c>
      <c r="D24" s="21">
        <f>'03 NADH'!H18</f>
        <v>8.7694781103141235</v>
      </c>
      <c r="E24" s="22">
        <f t="shared" si="0"/>
        <v>3.3060932475884243E-2</v>
      </c>
      <c r="F24" s="21">
        <f t="shared" si="1"/>
        <v>4.7583380074675086</v>
      </c>
    </row>
    <row r="25" spans="2:23" x14ac:dyDescent="0.25">
      <c r="C25" s="19">
        <v>0.3</v>
      </c>
      <c r="D25" s="21">
        <f>'03 NADH'!H31</f>
        <v>9.5399455849616626</v>
      </c>
      <c r="E25" s="22">
        <f t="shared" si="0"/>
        <v>3.5965594855305469E-2</v>
      </c>
      <c r="F25" s="21">
        <f t="shared" si="1"/>
        <v>5.1763953447474762</v>
      </c>
    </row>
    <row r="26" spans="2:23" x14ac:dyDescent="0.25">
      <c r="C26" s="19">
        <v>0.4</v>
      </c>
      <c r="D26" s="21">
        <f>'04 NADH'!H18</f>
        <v>10.114757733673354</v>
      </c>
      <c r="E26" s="22">
        <f t="shared" si="0"/>
        <v>3.8132636655948543E-2</v>
      </c>
      <c r="F26" s="21">
        <f t="shared" si="1"/>
        <v>5.4882896741434282</v>
      </c>
    </row>
    <row r="27" spans="2:23" x14ac:dyDescent="0.25">
      <c r="C27" s="19">
        <v>0.4</v>
      </c>
      <c r="D27" s="21">
        <f>'04 NADH'!H31</f>
        <v>9.9923665424275239</v>
      </c>
      <c r="E27" s="22">
        <f t="shared" si="0"/>
        <v>3.7671221864951761E-2</v>
      </c>
      <c r="F27" s="21">
        <f t="shared" si="1"/>
        <v>5.4218799460206908</v>
      </c>
    </row>
    <row r="28" spans="2:23" x14ac:dyDescent="0.25">
      <c r="C28" s="19">
        <v>0.5</v>
      </c>
      <c r="D28" s="21">
        <f>'05 NADH'!H18</f>
        <v>10.645986677697509</v>
      </c>
      <c r="E28" s="22">
        <f t="shared" si="0"/>
        <v>4.0135369774919612E-2</v>
      </c>
      <c r="F28" s="21">
        <f t="shared" si="1"/>
        <v>5.7765356613298238</v>
      </c>
      <c r="W28" t="s">
        <v>47</v>
      </c>
    </row>
    <row r="29" spans="2:23" x14ac:dyDescent="0.25">
      <c r="C29" s="19">
        <v>0.5</v>
      </c>
      <c r="D29" s="21">
        <f>'05 NADH'!H31</f>
        <v>10.575366533898519</v>
      </c>
      <c r="E29" s="22">
        <f t="shared" si="0"/>
        <v>3.9869131832797416E-2</v>
      </c>
      <c r="F29" s="21">
        <f t="shared" si="1"/>
        <v>5.7382170168102213</v>
      </c>
      <c r="U29" t="s">
        <v>39</v>
      </c>
      <c r="V29">
        <v>10.685</v>
      </c>
      <c r="W29">
        <v>0.84899999999999998</v>
      </c>
    </row>
    <row r="30" spans="2:23" x14ac:dyDescent="0.25">
      <c r="U30" t="s">
        <v>46</v>
      </c>
      <c r="V30">
        <v>0.38750000000000001</v>
      </c>
      <c r="W30">
        <v>5.3400000000000003E-2</v>
      </c>
    </row>
    <row r="32" spans="2:23" x14ac:dyDescent="0.25">
      <c r="B32" t="s">
        <v>48</v>
      </c>
    </row>
    <row r="33" spans="2:8" x14ac:dyDescent="0.25">
      <c r="B33" t="s">
        <v>49</v>
      </c>
    </row>
    <row r="34" spans="2:8" x14ac:dyDescent="0.25">
      <c r="B34" t="s">
        <v>42</v>
      </c>
      <c r="C34" s="23" t="s">
        <v>50</v>
      </c>
      <c r="D34" s="23" t="s">
        <v>43</v>
      </c>
      <c r="E34" s="23" t="s">
        <v>25</v>
      </c>
      <c r="F34" s="24" t="s">
        <v>39</v>
      </c>
      <c r="G34" s="25" t="s">
        <v>44</v>
      </c>
      <c r="H34" s="25" t="s">
        <v>45</v>
      </c>
    </row>
    <row r="35" spans="2:8" x14ac:dyDescent="0.25">
      <c r="B35">
        <f>Table3[[#This Row],[old conc]]*0.84</f>
        <v>0</v>
      </c>
      <c r="C35">
        <v>0</v>
      </c>
      <c r="D35" s="16">
        <v>0</v>
      </c>
      <c r="E35" s="22">
        <v>0</v>
      </c>
      <c r="F35" s="21">
        <v>0</v>
      </c>
      <c r="G35" s="16">
        <v>0</v>
      </c>
      <c r="H35" s="26">
        <v>0</v>
      </c>
    </row>
    <row r="36" spans="2:8" x14ac:dyDescent="0.25">
      <c r="B36">
        <f>Table3[[#This Row],[old conc]]*0.84</f>
        <v>2.1000000000000001E-2</v>
      </c>
      <c r="C36">
        <v>2.5000000000000001E-2</v>
      </c>
      <c r="D36" s="16">
        <f>AVERAGE(D10:D11)</f>
        <v>0.84438727643351219</v>
      </c>
      <c r="E36" s="22">
        <f t="shared" ref="E36:E45" si="2">D36*0.00377</f>
        <v>3.183340032154341E-3</v>
      </c>
      <c r="F36" s="21">
        <f>AVERAGE(F10:F11)</f>
        <v>0.45816638344190286</v>
      </c>
      <c r="G36" s="16">
        <f>STDEV(D10:D11)</f>
        <v>5.0878313157564782E-2</v>
      </c>
      <c r="H36" s="26">
        <f>STDEV(F10:F11)</f>
        <v>2.7606684024758046E-2</v>
      </c>
    </row>
    <row r="37" spans="2:8" x14ac:dyDescent="0.25">
      <c r="B37">
        <f>Table3[[#This Row],[old conc]]*0.84</f>
        <v>4.2000000000000003E-2</v>
      </c>
      <c r="C37">
        <v>0.05</v>
      </c>
      <c r="D37" s="16">
        <f>AVERAGE(D12:D13)</f>
        <v>1.8648771397135961</v>
      </c>
      <c r="E37" s="22">
        <f t="shared" si="2"/>
        <v>7.0305868167202575E-3</v>
      </c>
      <c r="F37" s="21">
        <f>AVERAGE(F12:F13)</f>
        <v>1.0118864157628464</v>
      </c>
      <c r="G37" s="16">
        <f>STDEV(D12:D13)</f>
        <v>8.7011037259536461E-2</v>
      </c>
      <c r="H37" s="26">
        <f>STDEV(F12:F13)</f>
        <v>4.7212379169322513E-2</v>
      </c>
    </row>
    <row r="38" spans="2:8" x14ac:dyDescent="0.25">
      <c r="B38">
        <f>Table3[[#This Row],[old conc]]*0.84</f>
        <v>6.3E-2</v>
      </c>
      <c r="C38">
        <v>7.4999999999999997E-2</v>
      </c>
      <c r="D38" s="16">
        <f>AVERAGE(D14:D15)</f>
        <v>2.9861958088479876</v>
      </c>
      <c r="E38" s="22">
        <f t="shared" si="2"/>
        <v>1.1257958199356913E-2</v>
      </c>
      <c r="F38" s="21">
        <f>AVERAGE(F14:F15)</f>
        <v>1.62031637872149</v>
      </c>
      <c r="G38" s="16">
        <f>STDEV(D14:D15)</f>
        <v>7.2190061756829849E-2</v>
      </c>
      <c r="H38" s="26">
        <f>STDEV(F14:F15)</f>
        <v>3.917048543800325E-2</v>
      </c>
    </row>
    <row r="39" spans="2:8" x14ac:dyDescent="0.25">
      <c r="B39">
        <f>Table3[[#This Row],[old conc]]*0.84</f>
        <v>8.4000000000000005E-2</v>
      </c>
      <c r="C39">
        <v>0.1</v>
      </c>
      <c r="D39" s="16">
        <f>AVERAGE(D15:D16)</f>
        <v>3.4525723472668814</v>
      </c>
      <c r="E39" s="22">
        <f t="shared" si="2"/>
        <v>1.3016197749196143E-2</v>
      </c>
      <c r="F39" s="21">
        <f>AVERAGE(F16:F17)</f>
        <v>2.0489830750064328</v>
      </c>
      <c r="G39" s="16">
        <f>STDEV(D16:D17)</f>
        <v>0.12966468903691192</v>
      </c>
      <c r="H39" s="26">
        <f>STDEV(F16:F17)</f>
        <v>7.0356343936262944E-2</v>
      </c>
    </row>
    <row r="40" spans="2:8" x14ac:dyDescent="0.25">
      <c r="B40">
        <f>Table3[[#This Row],[old conc]]*0.84</f>
        <v>0.105</v>
      </c>
      <c r="C40">
        <v>0.125</v>
      </c>
      <c r="D40" s="16">
        <f>AVERAGE(D18:D19)</f>
        <v>4.6577897515501459</v>
      </c>
      <c r="E40" s="22">
        <f t="shared" si="2"/>
        <v>1.7559867363344049E-2</v>
      </c>
      <c r="F40" s="21">
        <f>AVERAGE(F18:F19)</f>
        <v>2.5273269089441639</v>
      </c>
      <c r="G40" s="16">
        <f>STDEV(D18:D19)</f>
        <v>0.14208083687666803</v>
      </c>
      <c r="H40" s="26">
        <f>STDEV(F18:F19)</f>
        <v>7.7093372916672176E-2</v>
      </c>
    </row>
    <row r="41" spans="2:8" x14ac:dyDescent="0.25">
      <c r="B41">
        <f>Table3[[#This Row],[old conc]]*0.84</f>
        <v>0.126</v>
      </c>
      <c r="C41">
        <v>0.15</v>
      </c>
      <c r="D41" s="16">
        <f>AVERAGE(D20:D21)</f>
        <v>5.5672853036751455</v>
      </c>
      <c r="E41" s="22">
        <f t="shared" si="2"/>
        <v>2.0988665594855297E-2</v>
      </c>
      <c r="F41" s="21">
        <f>AVERAGE(F20:F21)</f>
        <v>3.0208211852123346</v>
      </c>
      <c r="G41" s="16">
        <f>STDEV(D20:D21)</f>
        <v>9.091605522006807E-2</v>
      </c>
      <c r="H41" s="26">
        <f>STDEV(F20:F21)</f>
        <v>4.9331250457636262E-2</v>
      </c>
    </row>
    <row r="42" spans="2:8" x14ac:dyDescent="0.25">
      <c r="B42">
        <f>Table3[[#This Row],[old conc]]*0.84</f>
        <v>0.16800000000000001</v>
      </c>
      <c r="C42">
        <v>0.2</v>
      </c>
      <c r="D42" s="16">
        <f>AVERAGE(D22:D23)</f>
        <v>7.1616118109631799</v>
      </c>
      <c r="E42" s="22">
        <f t="shared" si="2"/>
        <v>2.6999276527331188E-2</v>
      </c>
      <c r="F42" s="21">
        <f>AVERAGE(F22:F23)</f>
        <v>3.8859062359428891</v>
      </c>
      <c r="G42" s="16">
        <f>STDEV(D22:D23)</f>
        <v>0.62429024584446069</v>
      </c>
      <c r="H42" s="26">
        <f>STDEV(F22:F23)</f>
        <v>0.3387412531424322</v>
      </c>
    </row>
    <row r="43" spans="2:8" x14ac:dyDescent="0.25">
      <c r="B43">
        <f>Table3[[#This Row],[old conc]]*0.84</f>
        <v>0.252</v>
      </c>
      <c r="C43">
        <v>0.3</v>
      </c>
      <c r="D43" s="16">
        <f>AVERAGE(D24:D25)</f>
        <v>9.154711847637893</v>
      </c>
      <c r="E43" s="22">
        <f t="shared" si="2"/>
        <v>3.4513263665594859E-2</v>
      </c>
      <c r="F43" s="21">
        <f>AVERAGE(F24:F25)</f>
        <v>4.9673666761074919</v>
      </c>
      <c r="G43" s="16">
        <f>STDEV(D24:D25)</f>
        <v>0.54480277600694926</v>
      </c>
      <c r="H43" s="26">
        <f>STDEV(F24:F25)</f>
        <v>0.29561117811545679</v>
      </c>
    </row>
    <row r="44" spans="2:8" x14ac:dyDescent="0.25">
      <c r="B44">
        <f>Table3[[#This Row],[old conc]]*0.84</f>
        <v>0.33600000000000002</v>
      </c>
      <c r="C44">
        <v>0.4</v>
      </c>
      <c r="D44" s="16">
        <f>AVERAGE(D26:D27)</f>
        <v>10.053562138050438</v>
      </c>
      <c r="E44" s="22">
        <f t="shared" si="2"/>
        <v>3.7901929260450148E-2</v>
      </c>
      <c r="F44" s="21">
        <f>AVERAGE(F26:F27)</f>
        <v>5.4550848100820595</v>
      </c>
      <c r="G44" s="16">
        <f>STDEV(D26:D27)</f>
        <v>8.6543641287426143E-2</v>
      </c>
      <c r="H44" s="26">
        <f>STDEV(F26:F27)</f>
        <v>4.6958769092342569E-2</v>
      </c>
    </row>
    <row r="45" spans="2:8" x14ac:dyDescent="0.25">
      <c r="B45">
        <f>Table3[[#This Row],[old conc]]*0.84</f>
        <v>0.42</v>
      </c>
      <c r="C45">
        <v>0.5</v>
      </c>
      <c r="D45" s="16">
        <f>AVERAGE(D28:D29)</f>
        <v>10.610676605798014</v>
      </c>
      <c r="E45" s="22">
        <f t="shared" si="2"/>
        <v>4.0002250803858511E-2</v>
      </c>
      <c r="F45" s="21">
        <f>AVERAGE(F28:F29)</f>
        <v>5.7573763390700226</v>
      </c>
      <c r="G45" s="16">
        <f>STDEV(D28:D29)</f>
        <v>4.9935982568635226E-2</v>
      </c>
      <c r="H45" s="26">
        <f>STDEV(F28:F29)</f>
        <v>2.7095373385687613E-2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4C7FC-B863-4D22-B68A-C167D48F5A7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32"/>
  <sheetViews>
    <sheetView workbookViewId="0">
      <selection activeCell="D34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4.5400000000000003E-2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7.2990353697749197E-6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7.29903536977492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1.4525080385852089E-2</v>
      </c>
      <c r="I7" t="s">
        <v>25</v>
      </c>
    </row>
    <row r="8" spans="2:9" x14ac:dyDescent="0.25">
      <c r="B8" t="s">
        <v>5</v>
      </c>
      <c r="C8" s="1">
        <v>0.01</v>
      </c>
      <c r="G8" t="s">
        <v>15</v>
      </c>
      <c r="H8" s="15">
        <f>C15</f>
        <v>7.5400000000000007E-3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1.9264032341978896</v>
      </c>
      <c r="I9" t="s">
        <v>27</v>
      </c>
    </row>
    <row r="10" spans="2:9" x14ac:dyDescent="0.25">
      <c r="B10" t="s">
        <v>7</v>
      </c>
      <c r="C10" s="8">
        <f>SUM(C3:C9)</f>
        <v>1.99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995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7.5400000000000007E-3</v>
      </c>
    </row>
    <row r="16" spans="2:9" x14ac:dyDescent="0.25">
      <c r="G16" s="3" t="s">
        <v>14</v>
      </c>
      <c r="H16" s="11">
        <f>H7</f>
        <v>1.4525080385852089E-2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7.2625401929260445</v>
      </c>
      <c r="I17" s="5" t="s">
        <v>31</v>
      </c>
    </row>
    <row r="18" spans="2:9" x14ac:dyDescent="0.25">
      <c r="B18" t="s">
        <v>8</v>
      </c>
      <c r="C18" s="10">
        <v>4.5400000000000003E-2</v>
      </c>
      <c r="G18" s="3" t="s">
        <v>16</v>
      </c>
      <c r="H18" s="4">
        <f>H9</f>
        <v>1.9264032341978896</v>
      </c>
      <c r="I18" s="3" t="s">
        <v>27</v>
      </c>
    </row>
    <row r="19" spans="2:9" x14ac:dyDescent="0.25">
      <c r="B19" t="s">
        <v>9</v>
      </c>
      <c r="C19" s="10">
        <v>4.2500000000000003E-2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4.3950000000000003E-2</v>
      </c>
    </row>
    <row r="21" spans="2:9" x14ac:dyDescent="0.25">
      <c r="B21" t="s">
        <v>18</v>
      </c>
      <c r="C21" s="6">
        <f>STDEV(C18:C19)</f>
        <v>2.0506096654409876E-3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4.2500000000000003E-2</v>
      </c>
      <c r="I22" t="s">
        <v>22</v>
      </c>
    </row>
    <row r="23" spans="2:9" x14ac:dyDescent="0.25">
      <c r="G23" t="s">
        <v>13</v>
      </c>
      <c r="H23" s="2">
        <f>H22/H21</f>
        <v>6.8327974276527339E-6</v>
      </c>
      <c r="I23" t="s">
        <v>23</v>
      </c>
    </row>
    <row r="24" spans="2:9" x14ac:dyDescent="0.25">
      <c r="G24" t="s">
        <v>13</v>
      </c>
      <c r="H24" s="2">
        <f>H23*1000000</f>
        <v>6.8327974276527339</v>
      </c>
      <c r="I24" t="s">
        <v>24</v>
      </c>
    </row>
    <row r="25" spans="2:9" x14ac:dyDescent="0.25">
      <c r="G25" t="s">
        <v>14</v>
      </c>
      <c r="H25" s="7">
        <f>H24/1000*C10</f>
        <v>1.3597266881028941E-2</v>
      </c>
      <c r="I25" t="s">
        <v>25</v>
      </c>
    </row>
    <row r="26" spans="2:9" x14ac:dyDescent="0.25">
      <c r="G26" t="s">
        <v>15</v>
      </c>
      <c r="H26" s="15">
        <f>C15</f>
        <v>7.5400000000000007E-3</v>
      </c>
      <c r="I26" t="s">
        <v>26</v>
      </c>
    </row>
    <row r="27" spans="2:9" x14ac:dyDescent="0.25">
      <c r="G27" t="s">
        <v>16</v>
      </c>
      <c r="H27" s="2">
        <f>H25/H26</f>
        <v>1.8033510452293025</v>
      </c>
      <c r="I27" t="s">
        <v>27</v>
      </c>
    </row>
    <row r="29" spans="2:9" x14ac:dyDescent="0.25">
      <c r="G29" s="3" t="s">
        <v>14</v>
      </c>
      <c r="H29" s="11">
        <f>H25</f>
        <v>1.3597266881028941E-2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1.8033510452293025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7FF93-8643-42DF-A64F-7C6B75B30E46}">
  <dimension ref="B2:I32"/>
  <sheetViews>
    <sheetView workbookViewId="0">
      <selection activeCell="C20" sqref="C20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6.9000000000000006E-2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1.1093247588424438E-5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11.093247588424438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2.2131028938906751E-2</v>
      </c>
      <c r="I7" t="s">
        <v>25</v>
      </c>
    </row>
    <row r="8" spans="2:9" x14ac:dyDescent="0.25">
      <c r="B8" t="s">
        <v>5</v>
      </c>
      <c r="C8" s="1">
        <v>1.4999999999999999E-2</v>
      </c>
      <c r="G8" t="s">
        <v>15</v>
      </c>
      <c r="H8" s="15">
        <f>C15</f>
        <v>7.5400000000000007E-3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2.9351497266454576</v>
      </c>
      <c r="I9" t="s">
        <v>27</v>
      </c>
    </row>
    <row r="10" spans="2:9" x14ac:dyDescent="0.25">
      <c r="B10" t="s">
        <v>7</v>
      </c>
      <c r="C10" s="8">
        <f>SUM(C3:C9)</f>
        <v>1.9949999999999999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997.49999999999989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7.5400000000000007E-3</v>
      </c>
    </row>
    <row r="16" spans="2:9" x14ac:dyDescent="0.25">
      <c r="G16" s="3" t="s">
        <v>14</v>
      </c>
      <c r="H16" s="11">
        <f>H7</f>
        <v>2.2131028938906751E-2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11.065514469453374</v>
      </c>
      <c r="I17" s="5" t="s">
        <v>31</v>
      </c>
    </row>
    <row r="18" spans="2:9" x14ac:dyDescent="0.25">
      <c r="B18" t="s">
        <v>8</v>
      </c>
      <c r="C18" s="10">
        <v>6.9000000000000006E-2</v>
      </c>
      <c r="G18" s="3" t="s">
        <v>16</v>
      </c>
      <c r="H18" s="4">
        <f>H9</f>
        <v>2.9351497266454576</v>
      </c>
      <c r="I18" s="3" t="s">
        <v>27</v>
      </c>
    </row>
    <row r="19" spans="2:9" x14ac:dyDescent="0.25">
      <c r="B19" t="s">
        <v>9</v>
      </c>
      <c r="C19" s="10">
        <v>7.1400000000000005E-2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7.0200000000000012E-2</v>
      </c>
    </row>
    <row r="21" spans="2:9" x14ac:dyDescent="0.25">
      <c r="B21" t="s">
        <v>18</v>
      </c>
      <c r="C21" s="6">
        <f>STDEV(C18:C19)</f>
        <v>1.6970562748477138E-3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7.1400000000000005E-2</v>
      </c>
      <c r="I22" t="s">
        <v>22</v>
      </c>
    </row>
    <row r="23" spans="2:9" x14ac:dyDescent="0.25">
      <c r="G23" t="s">
        <v>13</v>
      </c>
      <c r="H23" s="2">
        <f>H22/H21</f>
        <v>1.1479099678456593E-5</v>
      </c>
      <c r="I23" t="s">
        <v>23</v>
      </c>
    </row>
    <row r="24" spans="2:9" x14ac:dyDescent="0.25">
      <c r="G24" t="s">
        <v>13</v>
      </c>
      <c r="H24" s="2">
        <f>H23*1000000</f>
        <v>11.479099678456594</v>
      </c>
      <c r="I24" t="s">
        <v>24</v>
      </c>
    </row>
    <row r="25" spans="2:9" x14ac:dyDescent="0.25">
      <c r="G25" t="s">
        <v>14</v>
      </c>
      <c r="H25" s="7">
        <f>H24/1000*C10</f>
        <v>2.2900803858520904E-2</v>
      </c>
      <c r="I25" t="s">
        <v>25</v>
      </c>
    </row>
    <row r="26" spans="2:9" x14ac:dyDescent="0.25">
      <c r="G26" t="s">
        <v>15</v>
      </c>
      <c r="H26" s="15">
        <f>C15</f>
        <v>7.5400000000000007E-3</v>
      </c>
      <c r="I26" t="s">
        <v>26</v>
      </c>
    </row>
    <row r="27" spans="2:9" x14ac:dyDescent="0.25">
      <c r="G27" t="s">
        <v>16</v>
      </c>
      <c r="H27" s="2">
        <f>H25/H26</f>
        <v>3.0372418910505177</v>
      </c>
      <c r="I27" t="s">
        <v>27</v>
      </c>
    </row>
    <row r="29" spans="2:9" x14ac:dyDescent="0.25">
      <c r="G29" s="3" t="s">
        <v>14</v>
      </c>
      <c r="H29" s="11">
        <f>H25</f>
        <v>2.2900803858520904E-2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3.0372418910505177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32"/>
  <sheetViews>
    <sheetView workbookViewId="0">
      <selection activeCell="C15" sqref="C15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9.0700000000000003E-2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1.4581993569131833E-5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14.581993569131834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2.9163987138263667E-2</v>
      </c>
      <c r="I7" t="s">
        <v>25</v>
      </c>
    </row>
    <row r="8" spans="2:9" x14ac:dyDescent="0.25">
      <c r="B8" t="s">
        <v>5</v>
      </c>
      <c r="C8" s="1">
        <v>0.02</v>
      </c>
      <c r="G8" t="s">
        <v>15</v>
      </c>
      <c r="H8" s="15">
        <f>C15</f>
        <v>7.5399999999999998E-3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3.8679028034832452</v>
      </c>
      <c r="I9" t="s">
        <v>27</v>
      </c>
    </row>
    <row r="10" spans="2:9" x14ac:dyDescent="0.25">
      <c r="B10" t="s">
        <v>7</v>
      </c>
      <c r="C10" s="8">
        <f>SUM(C3:C9)</f>
        <v>2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1000</v>
      </c>
      <c r="G14" t="s">
        <v>30</v>
      </c>
      <c r="H14" s="1" t="s">
        <v>37</v>
      </c>
    </row>
    <row r="15" spans="2:9" x14ac:dyDescent="0.25">
      <c r="B15" t="s">
        <v>19</v>
      </c>
      <c r="C15" s="27">
        <f>C12/C14*C10</f>
        <v>7.5399999999999998E-3</v>
      </c>
    </row>
    <row r="16" spans="2:9" x14ac:dyDescent="0.25">
      <c r="G16" s="3" t="s">
        <v>14</v>
      </c>
      <c r="H16" s="11">
        <f>H7</f>
        <v>2.9163987138263667E-2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14.581993569131832</v>
      </c>
      <c r="I17" s="5" t="s">
        <v>31</v>
      </c>
    </row>
    <row r="18" spans="2:9" x14ac:dyDescent="0.25">
      <c r="B18" t="s">
        <v>8</v>
      </c>
      <c r="C18" s="10">
        <v>9.0700000000000003E-2</v>
      </c>
      <c r="G18" s="3" t="s">
        <v>16</v>
      </c>
      <c r="H18" s="4">
        <f>H9</f>
        <v>3.8679028034832452</v>
      </c>
      <c r="I18" s="3" t="s">
        <v>27</v>
      </c>
    </row>
    <row r="19" spans="2:9" x14ac:dyDescent="0.25">
      <c r="B19" t="s">
        <v>9</v>
      </c>
      <c r="C19" s="10">
        <v>8.6400000000000005E-2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8.8550000000000004E-2</v>
      </c>
    </row>
    <row r="21" spans="2:9" x14ac:dyDescent="0.25">
      <c r="B21" t="s">
        <v>18</v>
      </c>
      <c r="C21" s="6">
        <f>STDEV(C18:C19)</f>
        <v>3.0405591591021529E-3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8.6400000000000005E-2</v>
      </c>
      <c r="I22" t="s">
        <v>22</v>
      </c>
    </row>
    <row r="23" spans="2:9" x14ac:dyDescent="0.25">
      <c r="G23" t="s">
        <v>13</v>
      </c>
      <c r="H23" s="2">
        <f>H22/H21</f>
        <v>1.3890675241157557E-5</v>
      </c>
      <c r="I23" t="s">
        <v>23</v>
      </c>
    </row>
    <row r="24" spans="2:9" x14ac:dyDescent="0.25">
      <c r="G24" t="s">
        <v>13</v>
      </c>
      <c r="H24" s="2">
        <f>H23*1000000</f>
        <v>13.890675241157556</v>
      </c>
      <c r="I24" t="s">
        <v>24</v>
      </c>
    </row>
    <row r="25" spans="2:9" x14ac:dyDescent="0.25">
      <c r="G25" t="s">
        <v>14</v>
      </c>
      <c r="H25" s="7">
        <f>H24/1000*C10</f>
        <v>2.7781350482315111E-2</v>
      </c>
      <c r="I25" t="s">
        <v>25</v>
      </c>
    </row>
    <row r="26" spans="2:9" x14ac:dyDescent="0.25">
      <c r="G26" t="s">
        <v>15</v>
      </c>
      <c r="H26" s="15">
        <f>C15</f>
        <v>7.5399999999999998E-3</v>
      </c>
      <c r="I26" t="s">
        <v>26</v>
      </c>
    </row>
    <row r="27" spans="2:9" x14ac:dyDescent="0.25">
      <c r="G27" t="s">
        <v>16</v>
      </c>
      <c r="H27" s="2">
        <f>H25/H26</f>
        <v>3.6845292416863544</v>
      </c>
      <c r="I27" t="s">
        <v>27</v>
      </c>
    </row>
    <row r="29" spans="2:9" x14ac:dyDescent="0.25">
      <c r="G29" s="3" t="s">
        <v>14</v>
      </c>
      <c r="H29" s="11">
        <f>H25</f>
        <v>2.7781350482315111E-2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3.6845292416863544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2EB60-3DA6-459E-891B-9F914B338AD6}">
  <dimension ref="B2:I32"/>
  <sheetViews>
    <sheetView workbookViewId="0">
      <selection activeCell="C20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0.1113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1.7893890675241158E-5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17.89389067524116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3.5877250803858528E-2</v>
      </c>
      <c r="I7" t="s">
        <v>25</v>
      </c>
    </row>
    <row r="8" spans="2:9" x14ac:dyDescent="0.25">
      <c r="B8" t="s">
        <v>5</v>
      </c>
      <c r="C8" s="1">
        <v>2.5000000000000001E-2</v>
      </c>
      <c r="G8" t="s">
        <v>15</v>
      </c>
      <c r="H8" s="15">
        <f>C15</f>
        <v>7.5400000000000007E-3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4.758256074782298</v>
      </c>
      <c r="I9" t="s">
        <v>27</v>
      </c>
    </row>
    <row r="10" spans="2:9" x14ac:dyDescent="0.25">
      <c r="B10" t="s">
        <v>7</v>
      </c>
      <c r="C10" s="8">
        <f>SUM(C3:C9)</f>
        <v>2.0049999999999999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1002.4999999999999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7.5400000000000007E-3</v>
      </c>
    </row>
    <row r="16" spans="2:9" x14ac:dyDescent="0.25">
      <c r="G16" s="3" t="s">
        <v>14</v>
      </c>
      <c r="H16" s="11">
        <f>H7</f>
        <v>3.5877250803858528E-2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17.938625401929265</v>
      </c>
      <c r="I17" s="5" t="s">
        <v>31</v>
      </c>
    </row>
    <row r="18" spans="2:9" x14ac:dyDescent="0.25">
      <c r="B18" t="s">
        <v>8</v>
      </c>
      <c r="C18" s="10">
        <v>0.1113</v>
      </c>
      <c r="G18" s="3" t="s">
        <v>16</v>
      </c>
      <c r="H18" s="4">
        <f>H9</f>
        <v>4.758256074782298</v>
      </c>
      <c r="I18" s="3" t="s">
        <v>27</v>
      </c>
    </row>
    <row r="19" spans="2:9" x14ac:dyDescent="0.25">
      <c r="B19" t="s">
        <v>9</v>
      </c>
      <c r="C19" s="10">
        <v>0.1066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0.10894999999999999</v>
      </c>
    </row>
    <row r="21" spans="2:9" x14ac:dyDescent="0.25">
      <c r="B21" t="s">
        <v>18</v>
      </c>
      <c r="C21" s="6">
        <f>STDEV(C18:C19)</f>
        <v>3.3234018715767705E-3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0.1066</v>
      </c>
      <c r="I22" t="s">
        <v>22</v>
      </c>
    </row>
    <row r="23" spans="2:9" x14ac:dyDescent="0.25">
      <c r="G23" t="s">
        <v>13</v>
      </c>
      <c r="H23" s="2">
        <f>H22/H21</f>
        <v>1.7138263665594855E-5</v>
      </c>
      <c r="I23" t="s">
        <v>23</v>
      </c>
    </row>
    <row r="24" spans="2:9" x14ac:dyDescent="0.25">
      <c r="G24" t="s">
        <v>13</v>
      </c>
      <c r="H24" s="2">
        <f>H23*1000000</f>
        <v>17.138263665594856</v>
      </c>
      <c r="I24" t="s">
        <v>24</v>
      </c>
    </row>
    <row r="25" spans="2:9" x14ac:dyDescent="0.25">
      <c r="G25" t="s">
        <v>14</v>
      </c>
      <c r="H25" s="7">
        <f>H24/1000*C10</f>
        <v>3.4362218649517683E-2</v>
      </c>
      <c r="I25" t="s">
        <v>25</v>
      </c>
    </row>
    <row r="26" spans="2:9" x14ac:dyDescent="0.25">
      <c r="G26" t="s">
        <v>15</v>
      </c>
      <c r="H26" s="15">
        <f>C15</f>
        <v>7.5400000000000007E-3</v>
      </c>
      <c r="I26" t="s">
        <v>26</v>
      </c>
    </row>
    <row r="27" spans="2:9" x14ac:dyDescent="0.25">
      <c r="G27" t="s">
        <v>16</v>
      </c>
      <c r="H27" s="2">
        <f>H25/H26</f>
        <v>4.5573234283179946</v>
      </c>
      <c r="I27" t="s">
        <v>27</v>
      </c>
    </row>
    <row r="29" spans="2:9" x14ac:dyDescent="0.25">
      <c r="G29" s="3" t="s">
        <v>14</v>
      </c>
      <c r="H29" s="11">
        <f>H25</f>
        <v>3.4362218649517683E-2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4.5573234283179946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0FE23-CB29-497D-A956-A9512C136902}">
  <dimension ref="B2:I32"/>
  <sheetViews>
    <sheetView workbookViewId="0">
      <selection activeCell="C20" sqref="C20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0.13139999999999999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2.1125401929260448E-5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21.125401929260448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4.24620578778135E-2</v>
      </c>
      <c r="I7" t="s">
        <v>25</v>
      </c>
    </row>
    <row r="8" spans="2:9" x14ac:dyDescent="0.25">
      <c r="B8" t="s">
        <v>5</v>
      </c>
      <c r="C8" s="1">
        <v>0.03</v>
      </c>
      <c r="G8" t="s">
        <v>15</v>
      </c>
      <c r="H8" s="15">
        <f>C15</f>
        <v>7.5399999999999998E-3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5.6315726628399867</v>
      </c>
      <c r="I9" t="s">
        <v>27</v>
      </c>
    </row>
    <row r="10" spans="2:9" x14ac:dyDescent="0.25">
      <c r="B10" t="s">
        <v>7</v>
      </c>
      <c r="C10" s="8">
        <f>SUM(C3:C9)</f>
        <v>2.0099999999999998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1004.9999999999999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7.5399999999999998E-3</v>
      </c>
    </row>
    <row r="16" spans="2:9" x14ac:dyDescent="0.25">
      <c r="G16" s="3" t="s">
        <v>14</v>
      </c>
      <c r="H16" s="11">
        <f>H7</f>
        <v>4.24620578778135E-2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21.23102893890675</v>
      </c>
      <c r="I17" s="5" t="s">
        <v>31</v>
      </c>
    </row>
    <row r="18" spans="2:9" x14ac:dyDescent="0.25">
      <c r="B18" t="s">
        <v>8</v>
      </c>
      <c r="C18" s="10">
        <v>0.13139999999999999</v>
      </c>
      <c r="G18" s="3" t="s">
        <v>16</v>
      </c>
      <c r="H18" s="4">
        <f>H9</f>
        <v>5.6315726628399867</v>
      </c>
      <c r="I18" s="3" t="s">
        <v>27</v>
      </c>
    </row>
    <row r="19" spans="2:9" x14ac:dyDescent="0.25">
      <c r="B19" t="s">
        <v>9</v>
      </c>
      <c r="C19" s="10">
        <v>0.12839999999999999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0.12989999999999999</v>
      </c>
    </row>
    <row r="21" spans="2:9" x14ac:dyDescent="0.25">
      <c r="B21" t="s">
        <v>18</v>
      </c>
      <c r="C21" s="6">
        <f>STDEV(C18:C19)</f>
        <v>2.1213203435596446E-3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0.12839999999999999</v>
      </c>
      <c r="I22" t="s">
        <v>22</v>
      </c>
    </row>
    <row r="23" spans="2:9" x14ac:dyDescent="0.25">
      <c r="G23" t="s">
        <v>13</v>
      </c>
      <c r="H23" s="2">
        <f>H22/H21</f>
        <v>2.0643086816720254E-5</v>
      </c>
      <c r="I23" t="s">
        <v>23</v>
      </c>
    </row>
    <row r="24" spans="2:9" x14ac:dyDescent="0.25">
      <c r="G24" t="s">
        <v>13</v>
      </c>
      <c r="H24" s="2">
        <f>H23*1000000</f>
        <v>20.643086816720253</v>
      </c>
      <c r="I24" t="s">
        <v>24</v>
      </c>
    </row>
    <row r="25" spans="2:9" x14ac:dyDescent="0.25">
      <c r="G25" t="s">
        <v>14</v>
      </c>
      <c r="H25" s="7">
        <f>H24/1000*C10</f>
        <v>4.1492604501607702E-2</v>
      </c>
      <c r="I25" t="s">
        <v>25</v>
      </c>
    </row>
    <row r="26" spans="2:9" x14ac:dyDescent="0.25">
      <c r="G26" t="s">
        <v>15</v>
      </c>
      <c r="H26" s="15">
        <f>C15</f>
        <v>7.5399999999999998E-3</v>
      </c>
      <c r="I26" t="s">
        <v>26</v>
      </c>
    </row>
    <row r="27" spans="2:9" x14ac:dyDescent="0.25">
      <c r="G27" t="s">
        <v>16</v>
      </c>
      <c r="H27" s="2">
        <f>H25/H26</f>
        <v>5.5029979445103052</v>
      </c>
      <c r="I27" t="s">
        <v>27</v>
      </c>
    </row>
    <row r="29" spans="2:9" x14ac:dyDescent="0.25">
      <c r="G29" s="3" t="s">
        <v>14</v>
      </c>
      <c r="H29" s="11">
        <f>H25</f>
        <v>4.1492604501607702E-2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5.5029979445103052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8.8700000000000001E-2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1.4260450160771705E-5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14.260450160771706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2.8663504823151126E-2</v>
      </c>
      <c r="I7" t="s">
        <v>25</v>
      </c>
    </row>
    <row r="8" spans="2:9" x14ac:dyDescent="0.25">
      <c r="B8" t="s">
        <v>5</v>
      </c>
      <c r="C8" s="1">
        <v>0.04</v>
      </c>
      <c r="G8" t="s">
        <v>15</v>
      </c>
      <c r="H8" s="15">
        <f>C15</f>
        <v>3.7699999999999999E-3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7.6030516772284154</v>
      </c>
      <c r="I9" t="s">
        <v>27</v>
      </c>
    </row>
    <row r="10" spans="2:9" x14ac:dyDescent="0.25">
      <c r="B10" t="s">
        <v>7</v>
      </c>
      <c r="C10" s="8">
        <f>SUM(C3:C9)</f>
        <v>2.0099999999999998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2009.9999999999998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3.7699999999999999E-3</v>
      </c>
    </row>
    <row r="16" spans="2:9" x14ac:dyDescent="0.25">
      <c r="G16" s="3" t="s">
        <v>14</v>
      </c>
      <c r="H16" s="11">
        <f>H7</f>
        <v>2.8663504823151126E-2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28.663504823151126</v>
      </c>
      <c r="I17" s="5" t="s">
        <v>31</v>
      </c>
    </row>
    <row r="18" spans="2:9" x14ac:dyDescent="0.25">
      <c r="B18" t="s">
        <v>8</v>
      </c>
      <c r="C18" s="10">
        <v>8.8700000000000001E-2</v>
      </c>
      <c r="G18" s="3" t="s">
        <v>16</v>
      </c>
      <c r="H18" s="4">
        <f>H9</f>
        <v>7.6030516772284154</v>
      </c>
      <c r="I18" s="3" t="s">
        <v>27</v>
      </c>
    </row>
    <row r="19" spans="2:9" x14ac:dyDescent="0.25">
      <c r="B19" t="s">
        <v>9</v>
      </c>
      <c r="C19" s="10">
        <v>7.8399999999999997E-2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8.3549999999999999E-2</v>
      </c>
    </row>
    <row r="21" spans="2:9" x14ac:dyDescent="0.25">
      <c r="B21" t="s">
        <v>18</v>
      </c>
      <c r="C21" s="6">
        <f>STDEV(C18:C19)</f>
        <v>7.2831998462214425E-3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7.8399999999999997E-2</v>
      </c>
      <c r="I22" t="s">
        <v>22</v>
      </c>
    </row>
    <row r="23" spans="2:9" x14ac:dyDescent="0.25">
      <c r="G23" t="s">
        <v>13</v>
      </c>
      <c r="H23" s="2">
        <f>H22/H21</f>
        <v>1.2604501607717041E-5</v>
      </c>
      <c r="I23" t="s">
        <v>23</v>
      </c>
    </row>
    <row r="24" spans="2:9" x14ac:dyDescent="0.25">
      <c r="G24" t="s">
        <v>13</v>
      </c>
      <c r="H24" s="2">
        <f>H23*1000000</f>
        <v>12.604501607717042</v>
      </c>
      <c r="I24" t="s">
        <v>24</v>
      </c>
    </row>
    <row r="25" spans="2:9" x14ac:dyDescent="0.25">
      <c r="G25" t="s">
        <v>14</v>
      </c>
      <c r="H25" s="7">
        <f>H24/1000*C10</f>
        <v>2.5335048231511254E-2</v>
      </c>
      <c r="I25" t="s">
        <v>25</v>
      </c>
    </row>
    <row r="26" spans="2:9" x14ac:dyDescent="0.25">
      <c r="G26" t="s">
        <v>15</v>
      </c>
      <c r="H26" s="15">
        <f>C15</f>
        <v>3.7699999999999999E-3</v>
      </c>
      <c r="I26" t="s">
        <v>26</v>
      </c>
    </row>
    <row r="27" spans="2:9" x14ac:dyDescent="0.25">
      <c r="G27" t="s">
        <v>16</v>
      </c>
      <c r="H27" s="2">
        <f>H25/H26</f>
        <v>6.7201719446979453</v>
      </c>
      <c r="I27" t="s">
        <v>27</v>
      </c>
    </row>
    <row r="29" spans="2:9" x14ac:dyDescent="0.25">
      <c r="G29" s="3" t="s">
        <v>14</v>
      </c>
      <c r="H29" s="11">
        <f>H25</f>
        <v>2.5335048231511254E-2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6.7201719446979453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1BF97-2D6F-4EBC-8821-47282A5C7629}">
  <dimension ref="B2:I32"/>
  <sheetViews>
    <sheetView workbookViewId="0"/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0.1013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1.6286173633440514E-5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16.286173633440516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3.3060932475884243E-2</v>
      </c>
      <c r="I7" t="s">
        <v>25</v>
      </c>
    </row>
    <row r="8" spans="2:9" x14ac:dyDescent="0.25">
      <c r="B8" t="s">
        <v>5</v>
      </c>
      <c r="C8" s="1">
        <v>0.06</v>
      </c>
      <c r="G8" t="s">
        <v>15</v>
      </c>
      <c r="H8" s="15">
        <f>C15</f>
        <v>3.7699999999999999E-3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8.7694781103141235</v>
      </c>
      <c r="I9" t="s">
        <v>27</v>
      </c>
    </row>
    <row r="10" spans="2:9" x14ac:dyDescent="0.25">
      <c r="B10" t="s">
        <v>7</v>
      </c>
      <c r="C10" s="8">
        <f>SUM(C3:C9)</f>
        <v>2.0299999999999998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2029.9999999999998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3.7699999999999999E-3</v>
      </c>
    </row>
    <row r="16" spans="2:9" x14ac:dyDescent="0.25">
      <c r="G16" s="3" t="s">
        <v>14</v>
      </c>
      <c r="H16" s="11">
        <f>H7</f>
        <v>3.3060932475884243E-2</v>
      </c>
      <c r="I16" s="3" t="s">
        <v>25</v>
      </c>
    </row>
    <row r="17" spans="2:9" x14ac:dyDescent="0.25">
      <c r="B17" t="s">
        <v>10</v>
      </c>
      <c r="G17" s="3" t="s">
        <v>16</v>
      </c>
      <c r="H17" s="11">
        <f>H16/C9*C13</f>
        <v>33.060932475884243</v>
      </c>
      <c r="I17" s="3" t="s">
        <v>31</v>
      </c>
    </row>
    <row r="18" spans="2:9" x14ac:dyDescent="0.25">
      <c r="B18" t="s">
        <v>8</v>
      </c>
      <c r="C18" s="10">
        <v>0.1013</v>
      </c>
      <c r="G18" s="3" t="s">
        <v>16</v>
      </c>
      <c r="H18" s="4">
        <f>H9</f>
        <v>8.7694781103141235</v>
      </c>
      <c r="I18" s="3" t="s">
        <v>27</v>
      </c>
    </row>
    <row r="19" spans="2:9" x14ac:dyDescent="0.25">
      <c r="B19" t="s">
        <v>9</v>
      </c>
      <c r="C19" s="10">
        <v>0.11020000000000001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v>0.1157</v>
      </c>
    </row>
    <row r="21" spans="2:9" x14ac:dyDescent="0.25">
      <c r="B21" t="s">
        <v>18</v>
      </c>
      <c r="C21" s="6">
        <f>STDEV(C18:C19)</f>
        <v>6.2932503525602763E-3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0.11020000000000001</v>
      </c>
      <c r="I22" t="s">
        <v>22</v>
      </c>
    </row>
    <row r="23" spans="2:9" x14ac:dyDescent="0.25">
      <c r="G23" t="s">
        <v>13</v>
      </c>
      <c r="H23" s="2">
        <f>H22/H21</f>
        <v>1.7717041800643089E-5</v>
      </c>
      <c r="I23" t="s">
        <v>23</v>
      </c>
    </row>
    <row r="24" spans="2:9" x14ac:dyDescent="0.25">
      <c r="G24" t="s">
        <v>13</v>
      </c>
      <c r="H24" s="2">
        <f>H23*1000000</f>
        <v>17.717041800643088</v>
      </c>
      <c r="I24" t="s">
        <v>24</v>
      </c>
    </row>
    <row r="25" spans="2:9" x14ac:dyDescent="0.25">
      <c r="G25" t="s">
        <v>14</v>
      </c>
      <c r="H25" s="7">
        <f>H24/1000*C10</f>
        <v>3.5965594855305469E-2</v>
      </c>
      <c r="I25" t="s">
        <v>25</v>
      </c>
    </row>
    <row r="26" spans="2:9" x14ac:dyDescent="0.25">
      <c r="G26" t="s">
        <v>15</v>
      </c>
      <c r="H26" s="15">
        <f>C15</f>
        <v>3.7699999999999999E-3</v>
      </c>
      <c r="I26" t="s">
        <v>26</v>
      </c>
    </row>
    <row r="27" spans="2:9" x14ac:dyDescent="0.25">
      <c r="G27" t="s">
        <v>16</v>
      </c>
      <c r="H27" s="2">
        <f>H25/H26</f>
        <v>9.5399455849616626</v>
      </c>
      <c r="I27" t="s">
        <v>27</v>
      </c>
    </row>
    <row r="29" spans="2:9" x14ac:dyDescent="0.25">
      <c r="G29" s="3" t="s">
        <v>14</v>
      </c>
      <c r="H29" s="11">
        <f>H25</f>
        <v>3.5965594855305469E-2</v>
      </c>
      <c r="I29" s="3" t="s">
        <v>25</v>
      </c>
    </row>
    <row r="30" spans="2:9" x14ac:dyDescent="0.25">
      <c r="G30" s="3" t="s">
        <v>16</v>
      </c>
      <c r="H30" s="11" t="e">
        <f>H29/C35*C39</f>
        <v>#DIV/0!</v>
      </c>
      <c r="I30" s="3" t="s">
        <v>31</v>
      </c>
    </row>
    <row r="31" spans="2:9" x14ac:dyDescent="0.25">
      <c r="G31" s="3" t="s">
        <v>16</v>
      </c>
      <c r="H31" s="4">
        <f>H27</f>
        <v>9.5399455849616626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2"/>
  <sheetViews>
    <sheetView workbookViewId="0">
      <selection activeCell="C19" sqref="C19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0.1157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1.8601286173633439E-5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18.60128617363344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3.813263665594855E-2</v>
      </c>
      <c r="I7" t="s">
        <v>25</v>
      </c>
    </row>
    <row r="8" spans="2:9" x14ac:dyDescent="0.25">
      <c r="B8" t="s">
        <v>5</v>
      </c>
      <c r="C8" s="1">
        <v>0.08</v>
      </c>
      <c r="G8" t="s">
        <v>15</v>
      </c>
      <c r="H8" s="15">
        <f>C15</f>
        <v>3.7700000000000003E-3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10.114757733673354</v>
      </c>
      <c r="I9" t="s">
        <v>27</v>
      </c>
    </row>
    <row r="10" spans="2:9" x14ac:dyDescent="0.25">
      <c r="B10" t="s">
        <v>7</v>
      </c>
      <c r="C10" s="8">
        <f>SUM(C3:C9)</f>
        <v>2.0499999999999998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2049.9999999999995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3.7700000000000003E-3</v>
      </c>
    </row>
    <row r="16" spans="2:9" x14ac:dyDescent="0.25">
      <c r="G16" s="3" t="s">
        <v>14</v>
      </c>
      <c r="H16" s="11">
        <f>H7</f>
        <v>3.813263665594855E-2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38.132636655948545</v>
      </c>
      <c r="I17" s="5" t="s">
        <v>31</v>
      </c>
    </row>
    <row r="18" spans="2:9" x14ac:dyDescent="0.25">
      <c r="B18" t="s">
        <v>8</v>
      </c>
      <c r="C18" s="10">
        <v>0.1157</v>
      </c>
      <c r="G18" s="3" t="s">
        <v>16</v>
      </c>
      <c r="H18" s="4">
        <f>H9</f>
        <v>10.114757733673354</v>
      </c>
      <c r="I18" s="3" t="s">
        <v>27</v>
      </c>
    </row>
    <row r="19" spans="2:9" x14ac:dyDescent="0.25">
      <c r="B19" t="s">
        <v>9</v>
      </c>
      <c r="C19" s="10">
        <v>0.1143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v>0.1157</v>
      </c>
    </row>
    <row r="21" spans="2:9" x14ac:dyDescent="0.25">
      <c r="B21" t="s">
        <v>18</v>
      </c>
      <c r="C21" s="6">
        <f>STDEV(C18:C19)</f>
        <v>9.899494936611655E-4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0.1143</v>
      </c>
      <c r="I22" t="s">
        <v>22</v>
      </c>
    </row>
    <row r="23" spans="2:9" x14ac:dyDescent="0.25">
      <c r="G23" t="s">
        <v>13</v>
      </c>
      <c r="H23" s="2">
        <f>H22/H21</f>
        <v>1.8376205787781352E-5</v>
      </c>
      <c r="I23" t="s">
        <v>23</v>
      </c>
    </row>
    <row r="24" spans="2:9" x14ac:dyDescent="0.25">
      <c r="G24" t="s">
        <v>13</v>
      </c>
      <c r="H24" s="2">
        <f>H23*1000000</f>
        <v>18.376205787781352</v>
      </c>
      <c r="I24" t="s">
        <v>24</v>
      </c>
    </row>
    <row r="25" spans="2:9" x14ac:dyDescent="0.25">
      <c r="G25" t="s">
        <v>14</v>
      </c>
      <c r="H25" s="7">
        <f>H24/1000*C10</f>
        <v>3.7671221864951768E-2</v>
      </c>
      <c r="I25" t="s">
        <v>25</v>
      </c>
    </row>
    <row r="26" spans="2:9" x14ac:dyDescent="0.25">
      <c r="G26" t="s">
        <v>15</v>
      </c>
      <c r="H26" s="15">
        <f>C15</f>
        <v>3.7700000000000003E-3</v>
      </c>
      <c r="I26" t="s">
        <v>26</v>
      </c>
    </row>
    <row r="27" spans="2:9" x14ac:dyDescent="0.25">
      <c r="G27" t="s">
        <v>16</v>
      </c>
      <c r="H27" s="2">
        <f>H25/H26</f>
        <v>9.9923665424275239</v>
      </c>
      <c r="I27" t="s">
        <v>27</v>
      </c>
    </row>
    <row r="29" spans="2:9" x14ac:dyDescent="0.25">
      <c r="G29" s="3" t="s">
        <v>14</v>
      </c>
      <c r="H29" s="11">
        <f>H25</f>
        <v>3.7671221864951768E-2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9.9923665424275239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0025 NADH</vt:lpstr>
      <vt:lpstr>005 NADH</vt:lpstr>
      <vt:lpstr>0075 NADH</vt:lpstr>
      <vt:lpstr>01 NADH</vt:lpstr>
      <vt:lpstr>0125 NADH</vt:lpstr>
      <vt:lpstr>015 NADH</vt:lpstr>
      <vt:lpstr>02 NADH</vt:lpstr>
      <vt:lpstr>03 NADH</vt:lpstr>
      <vt:lpstr>04 NADH</vt:lpstr>
      <vt:lpstr>05 NADH</vt:lpstr>
      <vt:lpstr>summary</vt:lpstr>
      <vt:lpstr>Sheet5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2020-12-14T08:48:32Z</dcterms:created>
  <dcterms:modified xsi:type="dcterms:W3CDTF">2024-07-31T13:16:58Z</dcterms:modified>
</cp:coreProperties>
</file>